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defaultThemeVersion="124226"/>
  <bookViews>
    <workbookView xWindow="600" yWindow="-225" windowWidth="19440" windowHeight="9780" tabRatio="59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G'!$A$2:$AK$121</definedName>
    <definedName name="Exh_G_var" localSheetId="20">'Exhibit G Federal'!$A$2:$AM$91</definedName>
    <definedName name="Exh_G_var" localSheetId="19">'Exhibit G state'!$A$2:$AM$119</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Share'!$B$5:$M$50</definedName>
    <definedName name="Page_1" localSheetId="3">Footnotes!$A$3:$S$65</definedName>
    <definedName name="Page_2" localSheetId="3">Footnotes!$A$67:$S$93</definedName>
    <definedName name="page1" localSheetId="32">'Sch 4'!$A$3:$J$19</definedName>
    <definedName name="page1" localSheetId="0">'Table of Contents'!$A$1:$J$101</definedName>
    <definedName name="_xlnm.Print_Area" localSheetId="22">' Exhbit I '!$B$15:$AL$101</definedName>
    <definedName name="_xlnm.Print_Area" localSheetId="23">' Exhibit I State'!$B$15:$AN$99</definedName>
    <definedName name="_xlnm.Print_Area" localSheetId="41">'Appendix F'!$A$2:$AA$50</definedName>
    <definedName name="_xlnm.Print_Area" localSheetId="42">'Appendix G'!$A$2:$P$292</definedName>
    <definedName name="_xlnm.Print_Area" localSheetId="38">'ARRA '!$A$3:$J$102</definedName>
    <definedName name="_xlnm.Print_Area" localSheetId="16">'Cash Flow State Operating'!$A$3:$AJ$142</definedName>
    <definedName name="_xlnm.Print_Area" localSheetId="15">'Cashflow Governmental'!$A$16:$AJ$144</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Projects'!$A$3:$K$44</definedName>
    <definedName name="_xlnm.Print_Area" localSheetId="13">'Exh D Captl Projects State Fed'!$A$3:$AA$44</definedName>
    <definedName name="_xlnm.Print_Area" localSheetId="11">'Exh D Debt Service'!$A$3:$K$43</definedName>
    <definedName name="_xlnm.Print_Area" localSheetId="8">'Exh D General Fund  '!$A$3:$K$56</definedName>
    <definedName name="_xlnm.Print_Area" localSheetId="9">'Exh D Special Revenue'!$A$3:$K$48</definedName>
    <definedName name="_xlnm.Print_Area" localSheetId="10">'Exh D Special Revenue State Fed'!$A$3:$X$45</definedName>
    <definedName name="_xlnm.Print_Area" localSheetId="7">'Exh D State Operating'!$A$3:$K$55</definedName>
    <definedName name="_xlnm.Print_Area" localSheetId="6">'Exh D-Governmental  '!$A$3:$K$54</definedName>
    <definedName name="_xlnm.Print_Area" localSheetId="17">'Exh F'!$B$14:$AK$140</definedName>
    <definedName name="_xlnm.Print_Area" localSheetId="1">'Exhibit A'!$A$3:$AI$60</definedName>
    <definedName name="_xlnm.Print_Area" localSheetId="14">'EXHIBIT E '!$A$3:$AK$59</definedName>
    <definedName name="_xlnm.Print_Area" localSheetId="18">'Exhibit G'!$B$14:$AK$125</definedName>
    <definedName name="_xlnm.Print_Area" localSheetId="20">'Exhibit G Federal'!$B$14:$AM$93</definedName>
    <definedName name="_xlnm.Print_Area" localSheetId="19">'Exhibit G state'!$B$14:$AM$121</definedName>
    <definedName name="_xlnm.Print_Area" localSheetId="21">'Exhibit H'!$A$12:$AI$71</definedName>
    <definedName name="_xlnm.Print_Area" localSheetId="24">'Exhibit I Federal'!$B$15:$AN$79</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Footnotes!$A$2:$Q$65</definedName>
    <definedName name="_xlnm.Print_Area" localSheetId="36">'HCRA '!$A$3:$Z$62</definedName>
    <definedName name="_xlnm.Print_Area" localSheetId="37">'HCRA PROG DISB'!$A$3:$K$109</definedName>
    <definedName name="_xlnm.Print_Area" localSheetId="40">'Medicaid Disp Share'!$B$2:$K$53</definedName>
    <definedName name="_xlnm.Print_Area" localSheetId="39">'Public Goods '!$A$3:$J$54</definedName>
    <definedName name="_xlnm.Print_Area" localSheetId="29">'Sch 1 '!$A$3:$L$151</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6F9E563_4458_41C9_BF56_F0F5B316856F_.wvu.Cols" localSheetId="15" hidden="1">'Cashflow Governmental'!#REF!</definedName>
    <definedName name="Z_16F9E563_4458_41C9_BF56_F0F5B316856F_.wvu.PrintArea" localSheetId="15" hidden="1">'Cashflow Governmental'!$A$3:$AJ$147</definedName>
    <definedName name="Z_1CC4ED98_AA43_4114_B2B3_B95664F86673_.wvu.PrintArea" localSheetId="14" hidden="1">'EXHIBIT E '!$A$3:$AK$59</definedName>
    <definedName name="Z_1D1F1A01_30B2_4981_9EC4_1E239EF5CA4C_.wvu.PrintArea" localSheetId="24" hidden="1">'Exhibit I Federal'!$B$3:$AN$79</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'!$A$3:$AK$59</definedName>
    <definedName name="Z_2F419F63_BD3C_4339_BEB3_24DF0825A630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9DB2D6C_C362_45F4_A2F1_C59B9CF1777D_.wvu.PrintArea" localSheetId="23" hidden="1">' Exhibit I State'!$B$3:$AN$99</definedName>
    <definedName name="Z_39DB2D6C_C362_45F4_A2F1_C59B9CF1777D_.wvu.Rows" localSheetId="23" hidden="1">' Exhibit I State'!#REF!</definedName>
    <definedName name="Z_3E09C753_C94C_4589_BB7F_28456297637B_.wvu.PrintArea" localSheetId="14" hidden="1">'EXHIBIT E '!$A$3:$AK$59</definedName>
    <definedName name="Z_46D80255_C131_405D_AA54_CB7C66EFC8B1_.wvu.FilterData" localSheetId="8" hidden="1">'Exh D General Fund  '!$A$3:$A$7</definedName>
    <definedName name="Z_46E4CD47_D4E7_4AFB_B55F_6166DD9C9806_.wvu.PrintArea" localSheetId="14" hidden="1">'EXHIBIT E '!$A$3:$AK$59</definedName>
    <definedName name="Z_4735AAE3_27B4_4549_AAB4_50ACA997F5F5_.wvu.Cols" localSheetId="13" hidden="1">'Exh D Captl Projects State Fed'!$W:$AA</definedName>
    <definedName name="Z_4735AAE3_27B4_4549_AAB4_50ACA997F5F5_.wvu.Cols" localSheetId="10" hidden="1">'Exh D Special Revenue State Fed'!$W:$AC</definedName>
    <definedName name="Z_4735AAE3_27B4_4549_AAB4_50ACA997F5F5_.wvu.FilterData" localSheetId="11" hidden="1">'Exh D Debt Service'!$A$3:$A$7</definedName>
    <definedName name="Z_4735AAE3_27B4_4549_AAB4_50ACA997F5F5_.wvu.FilterData" localSheetId="8" hidden="1">'Exh D General Fund  '!$A$3:$A$7</definedName>
    <definedName name="Z_4735AAE3_27B4_4549_AAB4_50ACA997F5F5_.wvu.PrintArea" localSheetId="22" hidden="1">' Exhbit I '!$B$15:$AL$101</definedName>
    <definedName name="Z_4735AAE3_27B4_4549_AAB4_50ACA997F5F5_.wvu.PrintArea" localSheetId="23" hidden="1">' Exhibit I State'!$B$15:$AN$99</definedName>
    <definedName name="Z_4735AAE3_27B4_4549_AAB4_50ACA997F5F5_.wvu.PrintArea" localSheetId="41" hidden="1">'Appendix F'!$A$2:$AA$50</definedName>
    <definedName name="Z_4735AAE3_27B4_4549_AAB4_50ACA997F5F5_.wvu.PrintArea" localSheetId="42" hidden="1">'Appendix G'!$A$2:$P$292</definedName>
    <definedName name="Z_4735AAE3_27B4_4549_AAB4_50ACA997F5F5_.wvu.PrintArea" localSheetId="38" hidden="1">'ARRA '!$A$3:$J$102</definedName>
    <definedName name="Z_4735AAE3_27B4_4549_AAB4_50ACA997F5F5_.wvu.PrintArea" localSheetId="16" hidden="1">'Cash Flow State Operating'!$A$3:$AJ$145</definedName>
    <definedName name="Z_4735AAE3_27B4_4549_AAB4_50ACA997F5F5_.wvu.PrintArea" localSheetId="15" hidden="1">'Cashflow Governmental'!$A$16:$AJ$144</definedName>
    <definedName name="Z_4735AAE3_27B4_4549_AAB4_50ACA997F5F5_.wvu.PrintArea" localSheetId="13" hidden="1">'Exh D Captl Projects State Fed'!$A$3:$AA$44</definedName>
    <definedName name="Z_4735AAE3_27B4_4549_AAB4_50ACA997F5F5_.wvu.PrintArea" localSheetId="9" hidden="1">'Exh D Special Revenue'!$A$3:$K$48</definedName>
    <definedName name="Z_4735AAE3_27B4_4549_AAB4_50ACA997F5F5_.wvu.PrintArea" localSheetId="10" hidden="1">'Exh D Special Revenue State Fed'!$A$3:$AB$45</definedName>
    <definedName name="Z_4735AAE3_27B4_4549_AAB4_50ACA997F5F5_.wvu.PrintArea" localSheetId="1" hidden="1">'Exhibit A'!$A$3:$AI$60</definedName>
    <definedName name="Z_4735AAE3_27B4_4549_AAB4_50ACA997F5F5_.wvu.PrintArea" localSheetId="14" hidden="1">'EXHIBIT E '!$A$3:$AK$59</definedName>
    <definedName name="Z_4735AAE3_27B4_4549_AAB4_50ACA997F5F5_.wvu.PrintArea" localSheetId="18" hidden="1">'Exhibit G'!$A$2:$AK$122</definedName>
    <definedName name="Z_4735AAE3_27B4_4549_AAB4_50ACA997F5F5_.wvu.PrintArea" localSheetId="20" hidden="1">'Exhibit G Federal'!$B$14:$AM$93</definedName>
    <definedName name="Z_4735AAE3_27B4_4549_AAB4_50ACA997F5F5_.wvu.PrintArea" localSheetId="19" hidden="1">'Exhibit G state'!$B$14:$AM$121</definedName>
    <definedName name="Z_4735AAE3_27B4_4549_AAB4_50ACA997F5F5_.wvu.PrintArea" localSheetId="21" hidden="1">'Exhibit H'!$A$12:$AI$71</definedName>
    <definedName name="Z_4735AAE3_27B4_4549_AAB4_50ACA997F5F5_.wvu.PrintArea" localSheetId="24" hidden="1">'Exhibit I Federal'!$B$15:$AN$79</definedName>
    <definedName name="Z_4735AAE3_27B4_4549_AAB4_50ACA997F5F5_.wvu.PrintArea" localSheetId="25" hidden="1">'Exhibit J'!$A$3:$AJ$58</definedName>
    <definedName name="Z_4735AAE3_27B4_4549_AAB4_50ACA997F5F5_.wvu.PrintArea" localSheetId="26" hidden="1">'Exhibit K'!$A$3:$AI$53</definedName>
    <definedName name="Z_4735AAE3_27B4_4549_AAB4_50ACA997F5F5_.wvu.PrintArea" localSheetId="27" hidden="1">'EXHIBIT L'!$A$3:$AI$39</definedName>
    <definedName name="Z_4735AAE3_27B4_4549_AAB4_50ACA997F5F5_.wvu.PrintArea" localSheetId="28" hidden="1">'EXHIBIT M'!$A$3:$AI$39</definedName>
    <definedName name="Z_4735AAE3_27B4_4549_AAB4_50ACA997F5F5_.wvu.PrintArea" localSheetId="3" hidden="1">Footnotes!$A$2:$Q$65</definedName>
    <definedName name="Z_4735AAE3_27B4_4549_AAB4_50ACA997F5F5_.wvu.PrintArea" localSheetId="36" hidden="1">'HCRA '!$A$3:$Z$62</definedName>
    <definedName name="Z_4735AAE3_27B4_4549_AAB4_50ACA997F5F5_.wvu.PrintArea" localSheetId="37" hidden="1">'HCRA PROG DISB'!$A$3:$K$109</definedName>
    <definedName name="Z_4735AAE3_27B4_4549_AAB4_50ACA997F5F5_.wvu.PrintArea" localSheetId="40" hidden="1">'Medicaid Disp Share'!$B$2:$K$53</definedName>
    <definedName name="Z_4735AAE3_27B4_4549_AAB4_50ACA997F5F5_.wvu.PrintArea" localSheetId="39" hidden="1">'Public Goods '!$A$3:$J$54</definedName>
    <definedName name="Z_4735AAE3_27B4_4549_AAB4_50ACA997F5F5_.wvu.PrintArea" localSheetId="29" hidden="1">'Sch 1 '!$A$3:$L$151</definedName>
    <definedName name="Z_4735AAE3_27B4_4549_AAB4_50ACA997F5F5_.wvu.PrintArea" localSheetId="30" hidden="1">'Sch 2 '!$A$3:$K$44</definedName>
    <definedName name="Z_4735AAE3_27B4_4549_AAB4_50ACA997F5F5_.wvu.PrintArea" localSheetId="31" hidden="1">'Sch 3 '!$A$2:$M$48</definedName>
    <definedName name="Z_4735AAE3_27B4_4549_AAB4_50ACA997F5F5_.wvu.PrintArea" localSheetId="32" hidden="1">'Sch 4'!$A$3:$J$35</definedName>
    <definedName name="Z_4735AAE3_27B4_4549_AAB4_50ACA997F5F5_.wvu.PrintArea" localSheetId="33" hidden="1">'Sch 5 '!$A$3:$S$65</definedName>
    <definedName name="Z_4735AAE3_27B4_4549_AAB4_50ACA997F5F5_.wvu.PrintArea" localSheetId="34" hidden="1">'Sch 5a '!$B$3:$W$62</definedName>
    <definedName name="Z_4735AAE3_27B4_4549_AAB4_50ACA997F5F5_.wvu.PrintArea" localSheetId="35" hidden="1">'Sch 6'!$A$3:$J$37</definedName>
    <definedName name="Z_4735AAE3_27B4_4549_AAB4_50ACA997F5F5_.wvu.PrintArea" localSheetId="0" hidden="1">'Table of Contents'!$A$1:$J$65</definedName>
    <definedName name="Z_4735AAE3_27B4_4549_AAB4_50ACA997F5F5_.wvu.PrintTitles" localSheetId="22" hidden="1">' Exhbit I '!$3:$13</definedName>
    <definedName name="Z_4735AAE3_27B4_4549_AAB4_50ACA997F5F5_.wvu.PrintTitles" localSheetId="23" hidden="1">' Exhibit I State'!$3:$14</definedName>
    <definedName name="Z_4735AAE3_27B4_4549_AAB4_50ACA997F5F5_.wvu.PrintTitles" localSheetId="42" hidden="1">'Appendix G'!$2:$8</definedName>
    <definedName name="Z_4735AAE3_27B4_4549_AAB4_50ACA997F5F5_.wvu.PrintTitles" localSheetId="38" hidden="1">'ARRA '!$3:$8</definedName>
    <definedName name="Z_4735AAE3_27B4_4549_AAB4_50ACA997F5F5_.wvu.PrintTitles" localSheetId="16" hidden="1">'Cash Flow State Operating'!$3:$15</definedName>
    <definedName name="Z_4735AAE3_27B4_4549_AAB4_50ACA997F5F5_.wvu.PrintTitles" localSheetId="15" hidden="1">'Cashflow Governmental'!$3:$15</definedName>
    <definedName name="Z_4735AAE3_27B4_4549_AAB4_50ACA997F5F5_.wvu.PrintTitles" localSheetId="17" hidden="1">'Exh F'!$5:$12</definedName>
    <definedName name="Z_4735AAE3_27B4_4549_AAB4_50ACA997F5F5_.wvu.PrintTitles" localSheetId="18" hidden="1">'Exhibit G'!$4:$13</definedName>
    <definedName name="Z_4735AAE3_27B4_4549_AAB4_50ACA997F5F5_.wvu.PrintTitles" localSheetId="20" hidden="1">'Exhibit G Federal'!$3:$13</definedName>
    <definedName name="Z_4735AAE3_27B4_4549_AAB4_50ACA997F5F5_.wvu.PrintTitles" localSheetId="19" hidden="1">'Exhibit G state'!$3:$13</definedName>
    <definedName name="Z_4735AAE3_27B4_4549_AAB4_50ACA997F5F5_.wvu.PrintTitles" localSheetId="21" hidden="1">'Exhibit H'!$3:$10</definedName>
    <definedName name="Z_4735AAE3_27B4_4549_AAB4_50ACA997F5F5_.wvu.PrintTitles" localSheetId="24" hidden="1">'Exhibit I Federal'!$3:$14</definedName>
    <definedName name="Z_4735AAE3_27B4_4549_AAB4_50ACA997F5F5_.wvu.PrintTitles" localSheetId="37" hidden="1">'HCRA PROG DISB'!$3:$8</definedName>
    <definedName name="Z_4735AAE3_27B4_4549_AAB4_50ACA997F5F5_.wvu.PrintTitles" localSheetId="39" hidden="1">'Public Goods '!$5:$11</definedName>
    <definedName name="Z_4735AAE3_27B4_4549_AAB4_50ACA997F5F5_.wvu.PrintTitles" localSheetId="29" hidden="1">'Sch 1 '!$3:$10</definedName>
    <definedName name="Z_4735AAE3_27B4_4549_AAB4_50ACA997F5F5_.wvu.PrintTitles" localSheetId="0" hidden="1">'Table of Contents'!$1:$12</definedName>
    <definedName name="Z_4C5DC936_C451_4ECB_8EE3_1B14AD828160_.wvu.Cols" localSheetId="15" hidden="1">'Cashflow Governmental'!#REF!</definedName>
    <definedName name="Z_4C5DC936_C451_4ECB_8EE3_1B14AD828160_.wvu.PrintArea" localSheetId="15" hidden="1">'Cashflow Governmental'!$A$3:$AJ$147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FA88E3E_0505_480C_94E4_3D96D410B5D5_.wvu.PrintArea" localSheetId="24" hidden="1">'Exhibit I Federal'!$B$3:$AN$79</definedName>
    <definedName name="Z_63934AF3_239F_447C_A783_B5936B1D7BDA_.wvu.FilterData" localSheetId="8" hidden="1">'Exh D General Fund  '!$A$3:$A$7</definedName>
    <definedName name="Z_63A58C72_B007_4E3F_A2C0_E62EBD5B7EF8_.wvu.PrintArea" localSheetId="14" hidden="1">'EXHIBIT E '!$A$3:$AK$59</definedName>
    <definedName name="Z_68E40C11_32EA_4744_9D66_9674A456789F_.wvu.FilterData" localSheetId="8" hidden="1">'Exh D General Fund  '!$A$3:$A$7</definedName>
    <definedName name="Z_7AE64DEF_56FD_44C8_9F38_A2F981B8F883_.wvu.PrintArea" localSheetId="23" hidden="1">' Exhibit I State'!$B$3:$AN$99</definedName>
    <definedName name="Z_7AE64DEF_56FD_44C8_9F38_A2F981B8F883_.wvu.Rows" localSheetId="23" hidden="1">' Exhibit I State'!#REF!</definedName>
    <definedName name="Z_80622567_647A_4891_B8EE_6B9E2C4DAC44_.wvu.Cols" localSheetId="13" hidden="1">'Exh D Captl Projects State Fed'!$W:$AA</definedName>
    <definedName name="Z_80622567_647A_4891_B8EE_6B9E2C4DAC44_.wvu.Cols" localSheetId="10" hidden="1">'Exh D Special Revenue State Fed'!$W:$AC</definedName>
    <definedName name="Z_80622567_647A_4891_B8EE_6B9E2C4DAC44_.wvu.FilterData" localSheetId="11" hidden="1">'Exh D Debt Service'!$A$3:$A$7</definedName>
    <definedName name="Z_80622567_647A_4891_B8EE_6B9E2C4DAC44_.wvu.FilterData" localSheetId="8" hidden="1">'Exh D General Fund  '!$A$3:$A$7</definedName>
    <definedName name="Z_80622567_647A_4891_B8EE_6B9E2C4DAC44_.wvu.PrintArea" localSheetId="22" hidden="1">' Exhbit I '!$B$15:$AL$101</definedName>
    <definedName name="Z_80622567_647A_4891_B8EE_6B9E2C4DAC44_.wvu.PrintArea" localSheetId="23" hidden="1">' Exhibit I State'!$B$15:$AN$99</definedName>
    <definedName name="Z_80622567_647A_4891_B8EE_6B9E2C4DAC44_.wvu.PrintArea" localSheetId="41" hidden="1">'Appendix F'!$A$2:$AA$50</definedName>
    <definedName name="Z_80622567_647A_4891_B8EE_6B9E2C4DAC44_.wvu.PrintArea" localSheetId="42" hidden="1">'Appendix G'!$A$2:$P$292</definedName>
    <definedName name="Z_80622567_647A_4891_B8EE_6B9E2C4DAC44_.wvu.PrintArea" localSheetId="38" hidden="1">'ARRA '!$A$3:$J$102</definedName>
    <definedName name="Z_80622567_647A_4891_B8EE_6B9E2C4DAC44_.wvu.PrintArea" localSheetId="16" hidden="1">'Cash Flow State Operating'!$A$3:$AJ$144</definedName>
    <definedName name="Z_80622567_647A_4891_B8EE_6B9E2C4DAC44_.wvu.PrintArea" localSheetId="15" hidden="1">'Cashflow Governmental'!$A$3:$AJ$144</definedName>
    <definedName name="Z_80622567_647A_4891_B8EE_6B9E2C4DAC44_.wvu.PrintArea" localSheetId="2" hidden="1">'Exh A Supp'!$A$3:$AF$65</definedName>
    <definedName name="Z_80622567_647A_4891_B8EE_6B9E2C4DAC44_.wvu.PrintArea" localSheetId="4" hidden="1">'Exh B'!$A$3:$V$47</definedName>
    <definedName name="Z_80622567_647A_4891_B8EE_6B9E2C4DAC44_.wvu.PrintArea" localSheetId="5" hidden="1">'Exh C'!$A$3:$U$44</definedName>
    <definedName name="Z_80622567_647A_4891_B8EE_6B9E2C4DAC44_.wvu.PrintArea" localSheetId="12" hidden="1">'Exh D Capital Projects'!$A$3:$K$44</definedName>
    <definedName name="Z_80622567_647A_4891_B8EE_6B9E2C4DAC44_.wvu.PrintArea" localSheetId="13" hidden="1">'Exh D Captl Projects State Fed'!$A$3:$AA$44</definedName>
    <definedName name="Z_80622567_647A_4891_B8EE_6B9E2C4DAC44_.wvu.PrintArea" localSheetId="11" hidden="1">'Exh D Debt Service'!$A$3:$K$43</definedName>
    <definedName name="Z_80622567_647A_4891_B8EE_6B9E2C4DAC44_.wvu.PrintArea" localSheetId="8" hidden="1">'Exh D General Fund  '!$A$3:$K$56</definedName>
    <definedName name="Z_80622567_647A_4891_B8EE_6B9E2C4DAC44_.wvu.PrintArea" localSheetId="9" hidden="1">'Exh D Special Revenue'!$A$3:$K$48</definedName>
    <definedName name="Z_80622567_647A_4891_B8EE_6B9E2C4DAC44_.wvu.PrintArea" localSheetId="10" hidden="1">'Exh D Special Revenue State Fed'!$A$3:$AB$45</definedName>
    <definedName name="Z_80622567_647A_4891_B8EE_6B9E2C4DAC44_.wvu.PrintArea" localSheetId="7" hidden="1">'Exh D State Operating'!$A$3:$K$55</definedName>
    <definedName name="Z_80622567_647A_4891_B8EE_6B9E2C4DAC44_.wvu.PrintArea" localSheetId="6" hidden="1">'Exh D-Governmental  '!$A$3:$K$54</definedName>
    <definedName name="Z_80622567_647A_4891_B8EE_6B9E2C4DAC44_.wvu.PrintArea" localSheetId="17" hidden="1">'Exh F'!$A$2:$AK$137</definedName>
    <definedName name="Z_80622567_647A_4891_B8EE_6B9E2C4DAC44_.wvu.PrintArea" localSheetId="1" hidden="1">'Exhibit A'!$A$3:$AI$60</definedName>
    <definedName name="Z_80622567_647A_4891_B8EE_6B9E2C4DAC44_.wvu.PrintArea" localSheetId="14" hidden="1">'EXHIBIT E '!$A$3:$AK$59</definedName>
    <definedName name="Z_80622567_647A_4891_B8EE_6B9E2C4DAC44_.wvu.PrintArea" localSheetId="18" hidden="1">'Exhibit G'!$A$2:$AK$122</definedName>
    <definedName name="Z_80622567_647A_4891_B8EE_6B9E2C4DAC44_.wvu.PrintArea" localSheetId="20" hidden="1">'Exhibit G Federal'!$B$14:$AM$93</definedName>
    <definedName name="Z_80622567_647A_4891_B8EE_6B9E2C4DAC44_.wvu.PrintArea" localSheetId="19" hidden="1">'Exhibit G state'!$B$14:$AM$121</definedName>
    <definedName name="Z_80622567_647A_4891_B8EE_6B9E2C4DAC44_.wvu.PrintArea" localSheetId="21" hidden="1">'Exhibit H'!$A$12:$AI$71</definedName>
    <definedName name="Z_80622567_647A_4891_B8EE_6B9E2C4DAC44_.wvu.PrintArea" localSheetId="24" hidden="1">'Exhibit I Federal'!$B$15:$AN$79</definedName>
    <definedName name="Z_80622567_647A_4891_B8EE_6B9E2C4DAC44_.wvu.PrintArea" localSheetId="25" hidden="1">'Exhibit J'!$A$3:$AJ$58</definedName>
    <definedName name="Z_80622567_647A_4891_B8EE_6B9E2C4DAC44_.wvu.PrintArea" localSheetId="26" hidden="1">'Exhibit K'!$A$3:$AI$53</definedName>
    <definedName name="Z_80622567_647A_4891_B8EE_6B9E2C4DAC44_.wvu.PrintArea" localSheetId="27" hidden="1">'EXHIBIT L'!$A$3:$AI$39</definedName>
    <definedName name="Z_80622567_647A_4891_B8EE_6B9E2C4DAC44_.wvu.PrintArea" localSheetId="28" hidden="1">'EXHIBIT M'!$A$3:$AI$39</definedName>
    <definedName name="Z_80622567_647A_4891_B8EE_6B9E2C4DAC44_.wvu.PrintArea" localSheetId="3" hidden="1">Footnotes!$A$2:$Q$65</definedName>
    <definedName name="Z_80622567_647A_4891_B8EE_6B9E2C4DAC44_.wvu.PrintArea" localSheetId="36" hidden="1">'HCRA '!$A$3:$Z$62</definedName>
    <definedName name="Z_80622567_647A_4891_B8EE_6B9E2C4DAC44_.wvu.PrintArea" localSheetId="37" hidden="1">'HCRA PROG DISB'!$A$3:$K$109</definedName>
    <definedName name="Z_80622567_647A_4891_B8EE_6B9E2C4DAC44_.wvu.PrintArea" localSheetId="40" hidden="1">'Medicaid Disp Share'!$B$2:$K$53</definedName>
    <definedName name="Z_80622567_647A_4891_B8EE_6B9E2C4DAC44_.wvu.PrintArea" localSheetId="39" hidden="1">'Public Goods '!$A$3:$J$54</definedName>
    <definedName name="Z_80622567_647A_4891_B8EE_6B9E2C4DAC44_.wvu.PrintArea" localSheetId="29" hidden="1">'Sch 1 '!$A$3:$L$151</definedName>
    <definedName name="Z_80622567_647A_4891_B8EE_6B9E2C4DAC44_.wvu.PrintArea" localSheetId="30" hidden="1">'Sch 2 '!$A$3:$K$44</definedName>
    <definedName name="Z_80622567_647A_4891_B8EE_6B9E2C4DAC44_.wvu.PrintArea" localSheetId="31" hidden="1">'Sch 3 '!$A$2:$M$48</definedName>
    <definedName name="Z_80622567_647A_4891_B8EE_6B9E2C4DAC44_.wvu.PrintArea" localSheetId="32" hidden="1">'Sch 4'!$A$3:$J$35</definedName>
    <definedName name="Z_80622567_647A_4891_B8EE_6B9E2C4DAC44_.wvu.PrintArea" localSheetId="33" hidden="1">'Sch 5 '!$A$3:$S$65</definedName>
    <definedName name="Z_80622567_647A_4891_B8EE_6B9E2C4DAC44_.wvu.PrintArea" localSheetId="34" hidden="1">'Sch 5a '!$B$3:$W$62</definedName>
    <definedName name="Z_80622567_647A_4891_B8EE_6B9E2C4DAC44_.wvu.PrintArea" localSheetId="35" hidden="1">'Sch 6'!$A$3:$J$37</definedName>
    <definedName name="Z_80622567_647A_4891_B8EE_6B9E2C4DAC44_.wvu.PrintArea" localSheetId="0" hidden="1">'Table of Contents'!$A$1:$J$65</definedName>
    <definedName name="Z_80622567_647A_4891_B8EE_6B9E2C4DAC44_.wvu.PrintTitles" localSheetId="22" hidden="1">' Exhbit I '!$3:$13</definedName>
    <definedName name="Z_80622567_647A_4891_B8EE_6B9E2C4DAC44_.wvu.PrintTitles" localSheetId="23" hidden="1">' Exhibit I State'!$3:$14</definedName>
    <definedName name="Z_80622567_647A_4891_B8EE_6B9E2C4DAC44_.wvu.PrintTitles" localSheetId="42" hidden="1">'Appendix G'!$2:$8</definedName>
    <definedName name="Z_80622567_647A_4891_B8EE_6B9E2C4DAC44_.wvu.PrintTitles" localSheetId="38" hidden="1">'ARRA '!$3:$8</definedName>
    <definedName name="Z_80622567_647A_4891_B8EE_6B9E2C4DAC44_.wvu.PrintTitles" localSheetId="16" hidden="1">'Cash Flow State Operating'!$3:$15</definedName>
    <definedName name="Z_80622567_647A_4891_B8EE_6B9E2C4DAC44_.wvu.PrintTitles" localSheetId="15" hidden="1">'Cashflow Governmental'!$3:$15</definedName>
    <definedName name="Z_80622567_647A_4891_B8EE_6B9E2C4DAC44_.wvu.PrintTitles" localSheetId="17" hidden="1">'Exh F'!$5:$13</definedName>
    <definedName name="Z_80622567_647A_4891_B8EE_6B9E2C4DAC44_.wvu.PrintTitles" localSheetId="18" hidden="1">'Exhibit G'!$4:$13</definedName>
    <definedName name="Z_80622567_647A_4891_B8EE_6B9E2C4DAC44_.wvu.PrintTitles" localSheetId="20" hidden="1">'Exhibit G Federal'!$3:$13</definedName>
    <definedName name="Z_80622567_647A_4891_B8EE_6B9E2C4DAC44_.wvu.PrintTitles" localSheetId="19" hidden="1">'Exhibit G state'!$3:$13</definedName>
    <definedName name="Z_80622567_647A_4891_B8EE_6B9E2C4DAC44_.wvu.PrintTitles" localSheetId="21" hidden="1">'Exhibit H'!$3:$10</definedName>
    <definedName name="Z_80622567_647A_4891_B8EE_6B9E2C4DAC44_.wvu.PrintTitles" localSheetId="24" hidden="1">'Exhibit I Federal'!$3:$14</definedName>
    <definedName name="Z_80622567_647A_4891_B8EE_6B9E2C4DAC44_.wvu.PrintTitles" localSheetId="37" hidden="1">'HCRA PROG DISB'!$3:$8</definedName>
    <definedName name="Z_80622567_647A_4891_B8EE_6B9E2C4DAC44_.wvu.PrintTitles" localSheetId="39" hidden="1">'Public Goods '!$5:$11</definedName>
    <definedName name="Z_80622567_647A_4891_B8EE_6B9E2C4DAC44_.wvu.PrintTitles" localSheetId="29" hidden="1">'Sch 1 '!$3:$10</definedName>
    <definedName name="Z_80622567_647A_4891_B8EE_6B9E2C4DAC44_.wvu.PrintTitles" localSheetId="0" hidden="1">'Table of Contents'!$1:$12</definedName>
    <definedName name="Z_80876A9A_0E13_4169_8EC2_4642160C38DB_.wvu.PrintArea" localSheetId="1" hidden="1">'Exhibit A'!$A$3:$AI$60</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'!$B$15:$AL$101</definedName>
    <definedName name="Z_8EE6466D_211E_4E05_9F84_CC0A1C6F79F4_.wvu.PrintArea" localSheetId="23" hidden="1">' Exhibit I State'!$B$15:$AN$99</definedName>
    <definedName name="Z_8EE6466D_211E_4E05_9F84_CC0A1C6F79F4_.wvu.PrintArea" localSheetId="41" hidden="1">'Appendix F'!$A$2:$AA$50</definedName>
    <definedName name="Z_8EE6466D_211E_4E05_9F84_CC0A1C6F79F4_.wvu.PrintArea" localSheetId="42" hidden="1">'Appendix G'!$A$2:$P$292</definedName>
    <definedName name="Z_8EE6466D_211E_4E05_9F84_CC0A1C6F79F4_.wvu.PrintArea" localSheetId="38" hidden="1">'ARRA '!$A$3:$J$102</definedName>
    <definedName name="Z_8EE6466D_211E_4E05_9F84_CC0A1C6F79F4_.wvu.PrintArea" localSheetId="16" hidden="1">'Cash Flow State Operating'!$A$3:$AJ$144</definedName>
    <definedName name="Z_8EE6466D_211E_4E05_9F84_CC0A1C6F79F4_.wvu.PrintArea" localSheetId="15" hidden="1">'Cashflow Governmental'!$A$16:$AJ$144</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Projects'!$A$3:$K$44</definedName>
    <definedName name="Z_8EE6466D_211E_4E05_9F84_CC0A1C6F79F4_.wvu.PrintArea" localSheetId="13" hidden="1">'Exh D Captl Projects State Fed'!$A$3:$AA$44</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Revenue'!$A$3:$K$48</definedName>
    <definedName name="Z_8EE6466D_211E_4E05_9F84_CC0A1C6F79F4_.wvu.PrintArea" localSheetId="10" hidden="1">'Exh D Special Revenue State Fed'!$A$3:$AB$45</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7" hidden="1">'Exh F'!$A$2:$AK$137</definedName>
    <definedName name="Z_8EE6466D_211E_4E05_9F84_CC0A1C6F79F4_.wvu.PrintArea" localSheetId="1" hidden="1">'Exhibit A'!$A$3:$AI$60</definedName>
    <definedName name="Z_8EE6466D_211E_4E05_9F84_CC0A1C6F79F4_.wvu.PrintArea" localSheetId="14" hidden="1">'EXHIBIT E '!$A$3:$AK$59</definedName>
    <definedName name="Z_8EE6466D_211E_4E05_9F84_CC0A1C6F79F4_.wvu.PrintArea" localSheetId="18" hidden="1">'Exhibit G'!$A$2:$AK$122</definedName>
    <definedName name="Z_8EE6466D_211E_4E05_9F84_CC0A1C6F79F4_.wvu.PrintArea" localSheetId="20" hidden="1">'Exhibit G Federal'!$B$14:$AM$93</definedName>
    <definedName name="Z_8EE6466D_211E_4E05_9F84_CC0A1C6F79F4_.wvu.PrintArea" localSheetId="19" hidden="1">'Exhibit G state'!$B$14:$AM$121</definedName>
    <definedName name="Z_8EE6466D_211E_4E05_9F84_CC0A1C6F79F4_.wvu.PrintArea" localSheetId="21" hidden="1">'Exhibit H'!$A$12:$AI$71</definedName>
    <definedName name="Z_8EE6466D_211E_4E05_9F84_CC0A1C6F79F4_.wvu.PrintArea" localSheetId="24" hidden="1">'Exhibit I Federal'!$B$15:$AN$79</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Footnotes!$A$2:$Q$65</definedName>
    <definedName name="Z_8EE6466D_211E_4E05_9F84_CC0A1C6F79F4_.wvu.PrintArea" localSheetId="36" hidden="1">'HCRA '!$A$3:$Z$62</definedName>
    <definedName name="Z_8EE6466D_211E_4E05_9F84_CC0A1C6F79F4_.wvu.PrintArea" localSheetId="37" hidden="1">'HCRA PROG DISB'!$A$3:$K$109</definedName>
    <definedName name="Z_8EE6466D_211E_4E05_9F84_CC0A1C6F79F4_.wvu.PrintArea" localSheetId="40" hidden="1">'Medicaid Disp Share'!$B$2:$K$53</definedName>
    <definedName name="Z_8EE6466D_211E_4E05_9F84_CC0A1C6F79F4_.wvu.PrintArea" localSheetId="39" hidden="1">'Public Goods '!$A$3:$J$54</definedName>
    <definedName name="Z_8EE6466D_211E_4E05_9F84_CC0A1C6F79F4_.wvu.PrintArea" localSheetId="29" hidden="1">'Sch 1 '!$A$3:$L$151</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'!$A$3:$S$65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0B76C5A_2FC4_40F0_8436_3E4F075A4887_.wvu.FilterData" localSheetId="11" hidden="1">'Exh D Debt Service'!$A$3:$A$7</definedName>
    <definedName name="Z_90B76C5A_2FC4_40F0_8436_3E4F075A4887_.wvu.FilterData" localSheetId="8" hidden="1">'Exh D General Fund  '!$A$3:$A$7</definedName>
    <definedName name="Z_90B76C5A_2FC4_40F0_8436_3E4F075A4887_.wvu.PrintArea" localSheetId="22" hidden="1">' Exhbit I '!$A$2:$AL$99</definedName>
    <definedName name="Z_90B76C5A_2FC4_40F0_8436_3E4F075A4887_.wvu.PrintArea" localSheetId="23" hidden="1">' Exhibit I State'!$A$2:$AN$99</definedName>
    <definedName name="Z_90B76C5A_2FC4_40F0_8436_3E4F075A4887_.wvu.PrintArea" localSheetId="41" hidden="1">'Appendix F'!$A$2:$AB$49</definedName>
    <definedName name="Z_90B76C5A_2FC4_40F0_8436_3E4F075A4887_.wvu.PrintArea" localSheetId="42" hidden="1">'Appendix G'!$A$2:$P$272</definedName>
    <definedName name="Z_90B76C5A_2FC4_40F0_8436_3E4F075A4887_.wvu.PrintArea" localSheetId="38" hidden="1">'ARRA '!$A$2:$J$100</definedName>
    <definedName name="Z_90B76C5A_2FC4_40F0_8436_3E4F075A4887_.wvu.PrintArea" localSheetId="16" hidden="1">'Cash Flow State Operating'!$A$2:$AJ$145</definedName>
    <definedName name="Z_90B76C5A_2FC4_40F0_8436_3E4F075A4887_.wvu.PrintArea" localSheetId="15" hidden="1">'Cashflow Governmental'!$A$2:$AJ$144</definedName>
    <definedName name="Z_90B76C5A_2FC4_40F0_8436_3E4F075A4887_.wvu.PrintArea" localSheetId="2" hidden="1">'Exh A Supp'!$A$2:$AF$65</definedName>
    <definedName name="Z_90B76C5A_2FC4_40F0_8436_3E4F075A4887_.wvu.PrintArea" localSheetId="4" hidden="1">'Exh B'!$A$2:$V$46</definedName>
    <definedName name="Z_90B76C5A_2FC4_40F0_8436_3E4F075A4887_.wvu.PrintArea" localSheetId="5" hidden="1">'Exh C'!$A$2:$U$43</definedName>
    <definedName name="Z_90B76C5A_2FC4_40F0_8436_3E4F075A4887_.wvu.PrintArea" localSheetId="12" hidden="1">'Exh D Capital Projects'!$A$2:$K$43</definedName>
    <definedName name="Z_90B76C5A_2FC4_40F0_8436_3E4F075A4887_.wvu.PrintArea" localSheetId="13" hidden="1">'Exh D Captl Projects State Fed'!$A$2:$V$43</definedName>
    <definedName name="Z_90B76C5A_2FC4_40F0_8436_3E4F075A4887_.wvu.PrintArea" localSheetId="11" hidden="1">'Exh D Debt Service'!$A$2:$K$42</definedName>
    <definedName name="Z_90B76C5A_2FC4_40F0_8436_3E4F075A4887_.wvu.PrintArea" localSheetId="8" hidden="1">'Exh D General Fund  '!$A$2:$K$55</definedName>
    <definedName name="Z_90B76C5A_2FC4_40F0_8436_3E4F075A4887_.wvu.PrintArea" localSheetId="9" hidden="1">'Exh D Special Revenue'!$A$2:$K$45</definedName>
    <definedName name="Z_90B76C5A_2FC4_40F0_8436_3E4F075A4887_.wvu.PrintArea" localSheetId="10" hidden="1">'Exh D Special Revenue State Fed'!$A$2:$W$45</definedName>
    <definedName name="Z_90B76C5A_2FC4_40F0_8436_3E4F075A4887_.wvu.PrintArea" localSheetId="7" hidden="1">'Exh D State Operating'!$A$2:$K$55</definedName>
    <definedName name="Z_90B76C5A_2FC4_40F0_8436_3E4F075A4887_.wvu.PrintArea" localSheetId="6" hidden="1">'Exh D-Governmental  '!$A$2:$K$53</definedName>
    <definedName name="Z_90B76C5A_2FC4_40F0_8436_3E4F075A4887_.wvu.PrintArea" localSheetId="17" hidden="1">'Exh F'!$A$2:$AK$137</definedName>
    <definedName name="Z_90B76C5A_2FC4_40F0_8436_3E4F075A4887_.wvu.PrintArea" localSheetId="1" hidden="1">'Exhibit A'!$A$2:$AI$63</definedName>
    <definedName name="Z_90B76C5A_2FC4_40F0_8436_3E4F075A4887_.wvu.PrintArea" localSheetId="14" hidden="1">'EXHIBIT E '!$A$2:$AJ$54</definedName>
    <definedName name="Z_90B76C5A_2FC4_40F0_8436_3E4F075A4887_.wvu.PrintArea" localSheetId="18" hidden="1">'Exhibit G'!$A$2:$AK$122</definedName>
    <definedName name="Z_90B76C5A_2FC4_40F0_8436_3E4F075A4887_.wvu.PrintArea" localSheetId="20" hidden="1">'Exhibit G Federal'!$A$2:$AM$93</definedName>
    <definedName name="Z_90B76C5A_2FC4_40F0_8436_3E4F075A4887_.wvu.PrintArea" localSheetId="19" hidden="1">'Exhibit G state'!$A$2:$AM$121</definedName>
    <definedName name="Z_90B76C5A_2FC4_40F0_8436_3E4F075A4887_.wvu.PrintArea" localSheetId="21" hidden="1">'Exhibit H'!$A$2:$AI$70</definedName>
    <definedName name="Z_90B76C5A_2FC4_40F0_8436_3E4F075A4887_.wvu.PrintArea" localSheetId="24" hidden="1">'Exhibit I Federal'!$A$2:$AN$79</definedName>
    <definedName name="Z_90B76C5A_2FC4_40F0_8436_3E4F075A4887_.wvu.PrintArea" localSheetId="25" hidden="1">'Exhibit J'!$A$2:$AJ$56</definedName>
    <definedName name="Z_90B76C5A_2FC4_40F0_8436_3E4F075A4887_.wvu.PrintArea" localSheetId="26" hidden="1">'Exhibit K'!$A$2:$AJ$51</definedName>
    <definedName name="Z_90B76C5A_2FC4_40F0_8436_3E4F075A4887_.wvu.PrintArea" localSheetId="27" hidden="1">'EXHIBIT L'!$A$2:$AJ$39</definedName>
    <definedName name="Z_90B76C5A_2FC4_40F0_8436_3E4F075A4887_.wvu.PrintArea" localSheetId="28" hidden="1">'EXHIBIT M'!$A$2:$AJ$39</definedName>
    <definedName name="Z_90B76C5A_2FC4_40F0_8436_3E4F075A4887_.wvu.PrintArea" localSheetId="3" hidden="1">Footnotes!$A$2:$Q$64</definedName>
    <definedName name="Z_90B76C5A_2FC4_40F0_8436_3E4F075A4887_.wvu.PrintArea" localSheetId="36" hidden="1">'HCRA '!$A$2:$Z$46</definedName>
    <definedName name="Z_90B76C5A_2FC4_40F0_8436_3E4F075A4887_.wvu.PrintArea" localSheetId="37" hidden="1">'HCRA PROG DISB'!$A$2:$K$106</definedName>
    <definedName name="Z_90B76C5A_2FC4_40F0_8436_3E4F075A4887_.wvu.PrintArea" localSheetId="40" hidden="1">'Medicaid Disp Share'!$A$2:$K$51</definedName>
    <definedName name="Z_90B76C5A_2FC4_40F0_8436_3E4F075A4887_.wvu.PrintArea" localSheetId="39" hidden="1">'Public Goods '!$A$2:$J$54</definedName>
    <definedName name="Z_90B76C5A_2FC4_40F0_8436_3E4F075A4887_.wvu.PrintArea" localSheetId="29" hidden="1">'Sch 1 '!$A$2:$L$156</definedName>
    <definedName name="Z_90B76C5A_2FC4_40F0_8436_3E4F075A4887_.wvu.PrintArea" localSheetId="30" hidden="1">'Sch 2 '!$A$2:$K$43</definedName>
    <definedName name="Z_90B76C5A_2FC4_40F0_8436_3E4F075A4887_.wvu.PrintArea" localSheetId="31" hidden="1">'Sch 3 '!$A$2:$L$50</definedName>
    <definedName name="Z_90B76C5A_2FC4_40F0_8436_3E4F075A4887_.wvu.PrintArea" localSheetId="32" hidden="1">'Sch 4'!$A$2:$J$28</definedName>
    <definedName name="Z_90B76C5A_2FC4_40F0_8436_3E4F075A4887_.wvu.PrintArea" localSheetId="33" hidden="1">'Sch 5 '!$A$2:$S$63</definedName>
    <definedName name="Z_90B76C5A_2FC4_40F0_8436_3E4F075A4887_.wvu.PrintArea" localSheetId="34" hidden="1">'Sch 5a '!$A$2:$V$61</definedName>
    <definedName name="Z_90B76C5A_2FC4_40F0_8436_3E4F075A4887_.wvu.PrintArea" localSheetId="35" hidden="1">'Sch 6'!$A$2:$K$39</definedName>
    <definedName name="Z_90B76C5A_2FC4_40F0_8436_3E4F075A4887_.wvu.PrintTitles" localSheetId="22" hidden="1">' Exhbit I '!$3:$13</definedName>
    <definedName name="Z_90B76C5A_2FC4_40F0_8436_3E4F075A4887_.wvu.PrintTitles" localSheetId="23" hidden="1">' Exhibit I State'!$3:$14</definedName>
    <definedName name="Z_90B76C5A_2FC4_40F0_8436_3E4F075A4887_.wvu.PrintTitles" localSheetId="42" hidden="1">'Appendix G'!$2:$8</definedName>
    <definedName name="Z_90B76C5A_2FC4_40F0_8436_3E4F075A4887_.wvu.PrintTitles" localSheetId="38" hidden="1">'ARRA '!$3:$8</definedName>
    <definedName name="Z_90B76C5A_2FC4_40F0_8436_3E4F075A4887_.wvu.PrintTitles" localSheetId="16" hidden="1">'Cash Flow State Operating'!$3:$15</definedName>
    <definedName name="Z_90B76C5A_2FC4_40F0_8436_3E4F075A4887_.wvu.PrintTitles" localSheetId="15" hidden="1">'Cashflow Governmental'!$3:$15</definedName>
    <definedName name="Z_90B76C5A_2FC4_40F0_8436_3E4F075A4887_.wvu.PrintTitles" localSheetId="17" hidden="1">'Exh F'!$5:$13</definedName>
    <definedName name="Z_90B76C5A_2FC4_40F0_8436_3E4F075A4887_.wvu.PrintTitles" localSheetId="18" hidden="1">'Exhibit G'!$4:$13</definedName>
    <definedName name="Z_90B76C5A_2FC4_40F0_8436_3E4F075A4887_.wvu.PrintTitles" localSheetId="20" hidden="1">'Exhibit G Federal'!$3:$13</definedName>
    <definedName name="Z_90B76C5A_2FC4_40F0_8436_3E4F075A4887_.wvu.PrintTitles" localSheetId="19" hidden="1">'Exhibit G state'!$3:$12</definedName>
    <definedName name="Z_90B76C5A_2FC4_40F0_8436_3E4F075A4887_.wvu.PrintTitles" localSheetId="37" hidden="1">'HCRA PROG DISB'!$3:$8</definedName>
    <definedName name="Z_90B76C5A_2FC4_40F0_8436_3E4F075A4887_.wvu.PrintTitles" localSheetId="29" hidden="1">'Sch 1 '!$3:$11</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899757D_57B5_4A62_AF0E_3ABA9B994DD7_.wvu.PrintArea" localSheetId="24" hidden="1">'Exhibit I Federal'!$B$3:$AN$79</definedName>
    <definedName name="Z_A0FF3ACA_1D9B_4095_A4CC_20040E84219D_.wvu.PrintTitles" localSheetId="29" hidden="1">'Sch 1 '!$3:$10</definedName>
    <definedName name="Z_A0FF3ACA_1D9B_4095_A4CC_20040E84219D_.wvu.Rows" localSheetId="29" hidden="1">'Sch 1 '!#REF!</definedName>
    <definedName name="Z_A8B05C3B_0E7E_44A3_A097_AF4C5C09F04E_.wvu.Cols" localSheetId="13" hidden="1">'Exh D Captl Projects State Fed'!$W:$AA</definedName>
    <definedName name="Z_A8B05C3B_0E7E_44A3_A097_AF4C5C09F04E_.wvu.Cols" localSheetId="10" hidden="1">'Exh D Special Revenue State Fed'!$W:$AC</definedName>
    <definedName name="Z_A8B05C3B_0E7E_44A3_A097_AF4C5C09F04E_.wvu.FilterData" localSheetId="11" hidden="1">'Exh D Debt Service'!$A$3:$A$7</definedName>
    <definedName name="Z_A8B05C3B_0E7E_44A3_A097_AF4C5C09F04E_.wvu.FilterData" localSheetId="8" hidden="1">'Exh D General Fund  '!$A$3:$A$7</definedName>
    <definedName name="Z_A8B05C3B_0E7E_44A3_A097_AF4C5C09F04E_.wvu.PrintArea" localSheetId="22" hidden="1">' Exhbit I '!$B$15:$AL$101</definedName>
    <definedName name="Z_A8B05C3B_0E7E_44A3_A097_AF4C5C09F04E_.wvu.PrintArea" localSheetId="23" hidden="1">' Exhibit I State'!$B$15:$AN$99</definedName>
    <definedName name="Z_A8B05C3B_0E7E_44A3_A097_AF4C5C09F04E_.wvu.PrintArea" localSheetId="41" hidden="1">'Appendix F'!$A$2:$AA$50</definedName>
    <definedName name="Z_A8B05C3B_0E7E_44A3_A097_AF4C5C09F04E_.wvu.PrintArea" localSheetId="42" hidden="1">'Appendix G'!$A$2:$P$292</definedName>
    <definedName name="Z_A8B05C3B_0E7E_44A3_A097_AF4C5C09F04E_.wvu.PrintArea" localSheetId="38" hidden="1">'ARRA '!$A$3:$J$102</definedName>
    <definedName name="Z_A8B05C3B_0E7E_44A3_A097_AF4C5C09F04E_.wvu.PrintArea" localSheetId="16" hidden="1">'Cash Flow State Operating'!$A$3:$AJ$144</definedName>
    <definedName name="Z_A8B05C3B_0E7E_44A3_A097_AF4C5C09F04E_.wvu.PrintArea" localSheetId="15" hidden="1">'Cashflow Governmental'!$A$16:$AJ$144</definedName>
    <definedName name="Z_A8B05C3B_0E7E_44A3_A097_AF4C5C09F04E_.wvu.PrintArea" localSheetId="2" hidden="1">'Exh A Supp'!$A$3:$AF$65</definedName>
    <definedName name="Z_A8B05C3B_0E7E_44A3_A097_AF4C5C09F04E_.wvu.PrintArea" localSheetId="4" hidden="1">'Exh B'!$A$3:$V$47</definedName>
    <definedName name="Z_A8B05C3B_0E7E_44A3_A097_AF4C5C09F04E_.wvu.PrintArea" localSheetId="5" hidden="1">'Exh C'!$A$3:$U$44</definedName>
    <definedName name="Z_A8B05C3B_0E7E_44A3_A097_AF4C5C09F04E_.wvu.PrintArea" localSheetId="12" hidden="1">'Exh D Capital Projects'!$A$3:$K$44</definedName>
    <definedName name="Z_A8B05C3B_0E7E_44A3_A097_AF4C5C09F04E_.wvu.PrintArea" localSheetId="13" hidden="1">'Exh D Captl Projects State Fed'!$A$3:$AA$44</definedName>
    <definedName name="Z_A8B05C3B_0E7E_44A3_A097_AF4C5C09F04E_.wvu.PrintArea" localSheetId="11" hidden="1">'Exh D Debt Service'!$A$3:$K$43</definedName>
    <definedName name="Z_A8B05C3B_0E7E_44A3_A097_AF4C5C09F04E_.wvu.PrintArea" localSheetId="8" hidden="1">'Exh D General Fund  '!$A$3:$K$56</definedName>
    <definedName name="Z_A8B05C3B_0E7E_44A3_A097_AF4C5C09F04E_.wvu.PrintArea" localSheetId="9" hidden="1">'Exh D Special Revenue'!$A$3:$K$48</definedName>
    <definedName name="Z_A8B05C3B_0E7E_44A3_A097_AF4C5C09F04E_.wvu.PrintArea" localSheetId="10" hidden="1">'Exh D Special Revenue State Fed'!$A$3:$AB$45</definedName>
    <definedName name="Z_A8B05C3B_0E7E_44A3_A097_AF4C5C09F04E_.wvu.PrintArea" localSheetId="7" hidden="1">'Exh D State Operating'!$A$3:$K$55</definedName>
    <definedName name="Z_A8B05C3B_0E7E_44A3_A097_AF4C5C09F04E_.wvu.PrintArea" localSheetId="6" hidden="1">'Exh D-Governmental  '!$A$3:$K$54</definedName>
    <definedName name="Z_A8B05C3B_0E7E_44A3_A097_AF4C5C09F04E_.wvu.PrintArea" localSheetId="17" hidden="1">'Exh F'!$A$2:$AK$137</definedName>
    <definedName name="Z_A8B05C3B_0E7E_44A3_A097_AF4C5C09F04E_.wvu.PrintArea" localSheetId="1" hidden="1">'Exhibit A'!$A$3:$AI$60</definedName>
    <definedName name="Z_A8B05C3B_0E7E_44A3_A097_AF4C5C09F04E_.wvu.PrintArea" localSheetId="14" hidden="1">'EXHIBIT E '!$A$3:$AK$59</definedName>
    <definedName name="Z_A8B05C3B_0E7E_44A3_A097_AF4C5C09F04E_.wvu.PrintArea" localSheetId="18" hidden="1">'Exhibit G'!$A$2:$AK$122</definedName>
    <definedName name="Z_A8B05C3B_0E7E_44A3_A097_AF4C5C09F04E_.wvu.PrintArea" localSheetId="20" hidden="1">'Exhibit G Federal'!$B$14:$AM$93</definedName>
    <definedName name="Z_A8B05C3B_0E7E_44A3_A097_AF4C5C09F04E_.wvu.PrintArea" localSheetId="19" hidden="1">'Exhibit G state'!$B$14:$AM$121</definedName>
    <definedName name="Z_A8B05C3B_0E7E_44A3_A097_AF4C5C09F04E_.wvu.PrintArea" localSheetId="21" hidden="1">'Exhibit H'!$A$12:$AI$71</definedName>
    <definedName name="Z_A8B05C3B_0E7E_44A3_A097_AF4C5C09F04E_.wvu.PrintArea" localSheetId="24" hidden="1">'Exhibit I Federal'!$B$15:$AN$79</definedName>
    <definedName name="Z_A8B05C3B_0E7E_44A3_A097_AF4C5C09F04E_.wvu.PrintArea" localSheetId="25" hidden="1">'Exhibit J'!$A$3:$AJ$58</definedName>
    <definedName name="Z_A8B05C3B_0E7E_44A3_A097_AF4C5C09F04E_.wvu.PrintArea" localSheetId="26" hidden="1">'Exhibit K'!$A$3:$AI$53</definedName>
    <definedName name="Z_A8B05C3B_0E7E_44A3_A097_AF4C5C09F04E_.wvu.PrintArea" localSheetId="27" hidden="1">'EXHIBIT L'!$A$3:$AI$39</definedName>
    <definedName name="Z_A8B05C3B_0E7E_44A3_A097_AF4C5C09F04E_.wvu.PrintArea" localSheetId="28" hidden="1">'EXHIBIT M'!$A$3:$AI$39</definedName>
    <definedName name="Z_A8B05C3B_0E7E_44A3_A097_AF4C5C09F04E_.wvu.PrintArea" localSheetId="3" hidden="1">Footnotes!$A$2:$Q$65</definedName>
    <definedName name="Z_A8B05C3B_0E7E_44A3_A097_AF4C5C09F04E_.wvu.PrintArea" localSheetId="36" hidden="1">'HCRA '!$A$3:$Z$62</definedName>
    <definedName name="Z_A8B05C3B_0E7E_44A3_A097_AF4C5C09F04E_.wvu.PrintArea" localSheetId="37" hidden="1">'HCRA PROG DISB'!$A$3:$K$109</definedName>
    <definedName name="Z_A8B05C3B_0E7E_44A3_A097_AF4C5C09F04E_.wvu.PrintArea" localSheetId="40" hidden="1">'Medicaid Disp Share'!$B$2:$K$53</definedName>
    <definedName name="Z_A8B05C3B_0E7E_44A3_A097_AF4C5C09F04E_.wvu.PrintArea" localSheetId="39" hidden="1">'Public Goods '!$A$3:$J$54</definedName>
    <definedName name="Z_A8B05C3B_0E7E_44A3_A097_AF4C5C09F04E_.wvu.PrintArea" localSheetId="29" hidden="1">'Sch 1 '!$A$3:$L$151</definedName>
    <definedName name="Z_A8B05C3B_0E7E_44A3_A097_AF4C5C09F04E_.wvu.PrintArea" localSheetId="30" hidden="1">'Sch 2 '!$A$3:$K$44</definedName>
    <definedName name="Z_A8B05C3B_0E7E_44A3_A097_AF4C5C09F04E_.wvu.PrintArea" localSheetId="31" hidden="1">'Sch 3 '!$A$2:$M$48</definedName>
    <definedName name="Z_A8B05C3B_0E7E_44A3_A097_AF4C5C09F04E_.wvu.PrintArea" localSheetId="32" hidden="1">'Sch 4'!$A$3:$J$35</definedName>
    <definedName name="Z_A8B05C3B_0E7E_44A3_A097_AF4C5C09F04E_.wvu.PrintArea" localSheetId="33" hidden="1">'Sch 5 '!$A$3:$S$65</definedName>
    <definedName name="Z_A8B05C3B_0E7E_44A3_A097_AF4C5C09F04E_.wvu.PrintArea" localSheetId="34" hidden="1">'Sch 5a '!$B$3:$W$62</definedName>
    <definedName name="Z_A8B05C3B_0E7E_44A3_A097_AF4C5C09F04E_.wvu.PrintArea" localSheetId="35" hidden="1">'Sch 6'!$A$3:$J$37</definedName>
    <definedName name="Z_A8B05C3B_0E7E_44A3_A097_AF4C5C09F04E_.wvu.PrintArea" localSheetId="0" hidden="1">'Table of Contents'!$A$1:$J$65</definedName>
    <definedName name="Z_A8B05C3B_0E7E_44A3_A097_AF4C5C09F04E_.wvu.PrintTitles" localSheetId="22" hidden="1">' Exhbit I '!$3:$13</definedName>
    <definedName name="Z_A8B05C3B_0E7E_44A3_A097_AF4C5C09F04E_.wvu.PrintTitles" localSheetId="23" hidden="1">' Exhibit I State'!$3:$14</definedName>
    <definedName name="Z_A8B05C3B_0E7E_44A3_A097_AF4C5C09F04E_.wvu.PrintTitles" localSheetId="42" hidden="1">'Appendix G'!$2:$8</definedName>
    <definedName name="Z_A8B05C3B_0E7E_44A3_A097_AF4C5C09F04E_.wvu.PrintTitles" localSheetId="38" hidden="1">'ARRA '!$3:$8</definedName>
    <definedName name="Z_A8B05C3B_0E7E_44A3_A097_AF4C5C09F04E_.wvu.PrintTitles" localSheetId="16" hidden="1">'Cash Flow State Operating'!$3:$15</definedName>
    <definedName name="Z_A8B05C3B_0E7E_44A3_A097_AF4C5C09F04E_.wvu.PrintTitles" localSheetId="15" hidden="1">'Cashflow Governmental'!$3:$15</definedName>
    <definedName name="Z_A8B05C3B_0E7E_44A3_A097_AF4C5C09F04E_.wvu.PrintTitles" localSheetId="17" hidden="1">'Exh F'!$5:$13</definedName>
    <definedName name="Z_A8B05C3B_0E7E_44A3_A097_AF4C5C09F04E_.wvu.PrintTitles" localSheetId="18" hidden="1">'Exhibit G'!$4:$13</definedName>
    <definedName name="Z_A8B05C3B_0E7E_44A3_A097_AF4C5C09F04E_.wvu.PrintTitles" localSheetId="20" hidden="1">'Exhibit G Federal'!$3:$13</definedName>
    <definedName name="Z_A8B05C3B_0E7E_44A3_A097_AF4C5C09F04E_.wvu.PrintTitles" localSheetId="19" hidden="1">'Exhibit G state'!$3:$13</definedName>
    <definedName name="Z_A8B05C3B_0E7E_44A3_A097_AF4C5C09F04E_.wvu.PrintTitles" localSheetId="21" hidden="1">'Exhibit H'!$3:$10</definedName>
    <definedName name="Z_A8B05C3B_0E7E_44A3_A097_AF4C5C09F04E_.wvu.PrintTitles" localSheetId="24" hidden="1">'Exhibit I Federal'!$3:$14</definedName>
    <definedName name="Z_A8B05C3B_0E7E_44A3_A097_AF4C5C09F04E_.wvu.PrintTitles" localSheetId="37" hidden="1">'HCRA PROG DISB'!$3:$8</definedName>
    <definedName name="Z_A8B05C3B_0E7E_44A3_A097_AF4C5C09F04E_.wvu.PrintTitles" localSheetId="39" hidden="1">'Public Goods '!$5:$11</definedName>
    <definedName name="Z_A8B05C3B_0E7E_44A3_A097_AF4C5C09F04E_.wvu.PrintTitles" localSheetId="29" hidden="1">'Sch 1 '!$3:$10</definedName>
    <definedName name="Z_A8B05C3B_0E7E_44A3_A097_AF4C5C09F04E_.wvu.PrintTitles" localSheetId="0" hidden="1">'Table of Contents'!$1:$12</definedName>
    <definedName name="Z_A97EE6C3_4DA8_41BD_BE43_F596EFCB43CA_.wvu.Cols" localSheetId="13" hidden="1">'Exh D Captl Projects State Fed'!$W:$AA</definedName>
    <definedName name="Z_A97EE6C3_4DA8_41BD_BE43_F596EFCB43CA_.wvu.Cols" localSheetId="10" hidden="1">'Exh D Special Revenue State Fed'!$W:$AC</definedName>
    <definedName name="Z_A97EE6C3_4DA8_41BD_BE43_F596EFCB43CA_.wvu.FilterData" localSheetId="11" hidden="1">'Exh D Debt Service'!$A$3:$A$7</definedName>
    <definedName name="Z_A97EE6C3_4DA8_41BD_BE43_F596EFCB43CA_.wvu.FilterData" localSheetId="8" hidden="1">'Exh D General Fund  '!$A$3:$A$7</definedName>
    <definedName name="Z_A97EE6C3_4DA8_41BD_BE43_F596EFCB43CA_.wvu.PrintArea" localSheetId="22" hidden="1">' Exhbit I '!$B$15:$AL$101</definedName>
    <definedName name="Z_A97EE6C3_4DA8_41BD_BE43_F596EFCB43CA_.wvu.PrintArea" localSheetId="23" hidden="1">' Exhibit I State'!$B$15:$AN$99</definedName>
    <definedName name="Z_A97EE6C3_4DA8_41BD_BE43_F596EFCB43CA_.wvu.PrintArea" localSheetId="41" hidden="1">'Appendix F'!$A$2:$AA$50</definedName>
    <definedName name="Z_A97EE6C3_4DA8_41BD_BE43_F596EFCB43CA_.wvu.PrintArea" localSheetId="42" hidden="1">'Appendix G'!$A$2:$P$292</definedName>
    <definedName name="Z_A97EE6C3_4DA8_41BD_BE43_F596EFCB43CA_.wvu.PrintArea" localSheetId="38" hidden="1">'ARRA '!$A$3:$J$102</definedName>
    <definedName name="Z_A97EE6C3_4DA8_41BD_BE43_F596EFCB43CA_.wvu.PrintArea" localSheetId="16" hidden="1">'Cash Flow State Operating'!$A$3:$AJ$144</definedName>
    <definedName name="Z_A97EE6C3_4DA8_41BD_BE43_F596EFCB43CA_.wvu.PrintArea" localSheetId="15" hidden="1">'Cashflow Governmental'!$A$16:$AJ$144</definedName>
    <definedName name="Z_A97EE6C3_4DA8_41BD_BE43_F596EFCB43CA_.wvu.PrintArea" localSheetId="2" hidden="1">'Exh A Supp'!$A$3:$AF$65</definedName>
    <definedName name="Z_A97EE6C3_4DA8_41BD_BE43_F596EFCB43CA_.wvu.PrintArea" localSheetId="4" hidden="1">'Exh B'!$A$3:$V$47</definedName>
    <definedName name="Z_A97EE6C3_4DA8_41BD_BE43_F596EFCB43CA_.wvu.PrintArea" localSheetId="5" hidden="1">'Exh C'!$A$3:$U$44</definedName>
    <definedName name="Z_A97EE6C3_4DA8_41BD_BE43_F596EFCB43CA_.wvu.PrintArea" localSheetId="12" hidden="1">'Exh D Capital Projects'!$A$3:$K$44</definedName>
    <definedName name="Z_A97EE6C3_4DA8_41BD_BE43_F596EFCB43CA_.wvu.PrintArea" localSheetId="13" hidden="1">'Exh D Captl Projects State Fed'!$A$3:$AA$44</definedName>
    <definedName name="Z_A97EE6C3_4DA8_41BD_BE43_F596EFCB43CA_.wvu.PrintArea" localSheetId="11" hidden="1">'Exh D Debt Service'!$A$3:$K$43</definedName>
    <definedName name="Z_A97EE6C3_4DA8_41BD_BE43_F596EFCB43CA_.wvu.PrintArea" localSheetId="8" hidden="1">'Exh D General Fund  '!$A$3:$K$56</definedName>
    <definedName name="Z_A97EE6C3_4DA8_41BD_BE43_F596EFCB43CA_.wvu.PrintArea" localSheetId="9" hidden="1">'Exh D Special Revenue'!$A$3:$K$48</definedName>
    <definedName name="Z_A97EE6C3_4DA8_41BD_BE43_F596EFCB43CA_.wvu.PrintArea" localSheetId="10" hidden="1">'Exh D Special Revenue State Fed'!$A$3:$AB$45</definedName>
    <definedName name="Z_A97EE6C3_4DA8_41BD_BE43_F596EFCB43CA_.wvu.PrintArea" localSheetId="7" hidden="1">'Exh D State Operating'!$A$3:$K$55</definedName>
    <definedName name="Z_A97EE6C3_4DA8_41BD_BE43_F596EFCB43CA_.wvu.PrintArea" localSheetId="6" hidden="1">'Exh D-Governmental  '!$A$3:$K$54</definedName>
    <definedName name="Z_A97EE6C3_4DA8_41BD_BE43_F596EFCB43CA_.wvu.PrintArea" localSheetId="17" hidden="1">'Exh F'!$A$2:$AK$137</definedName>
    <definedName name="Z_A97EE6C3_4DA8_41BD_BE43_F596EFCB43CA_.wvu.PrintArea" localSheetId="1" hidden="1">'Exhibit A'!$A$3:$AI$60</definedName>
    <definedName name="Z_A97EE6C3_4DA8_41BD_BE43_F596EFCB43CA_.wvu.PrintArea" localSheetId="14" hidden="1">'EXHIBIT E '!$A$3:$AK$59</definedName>
    <definedName name="Z_A97EE6C3_4DA8_41BD_BE43_F596EFCB43CA_.wvu.PrintArea" localSheetId="18" hidden="1">'Exhibit G'!$A$2:$AK$122</definedName>
    <definedName name="Z_A97EE6C3_4DA8_41BD_BE43_F596EFCB43CA_.wvu.PrintArea" localSheetId="20" hidden="1">'Exhibit G Federal'!$B$14:$AM$93</definedName>
    <definedName name="Z_A97EE6C3_4DA8_41BD_BE43_F596EFCB43CA_.wvu.PrintArea" localSheetId="19" hidden="1">'Exhibit G state'!$B$14:$AM$121</definedName>
    <definedName name="Z_A97EE6C3_4DA8_41BD_BE43_F596EFCB43CA_.wvu.PrintArea" localSheetId="21" hidden="1">'Exhibit H'!$A$12:$AI$71</definedName>
    <definedName name="Z_A97EE6C3_4DA8_41BD_BE43_F596EFCB43CA_.wvu.PrintArea" localSheetId="24" hidden="1">'Exhibit I Federal'!$B$15:$AN$79</definedName>
    <definedName name="Z_A97EE6C3_4DA8_41BD_BE43_F596EFCB43CA_.wvu.PrintArea" localSheetId="25" hidden="1">'Exhibit J'!$A$3:$AJ$58</definedName>
    <definedName name="Z_A97EE6C3_4DA8_41BD_BE43_F596EFCB43CA_.wvu.PrintArea" localSheetId="26" hidden="1">'Exhibit K'!$A$3:$AI$53</definedName>
    <definedName name="Z_A97EE6C3_4DA8_41BD_BE43_F596EFCB43CA_.wvu.PrintArea" localSheetId="27" hidden="1">'EXHIBIT L'!$A$3:$AI$39</definedName>
    <definedName name="Z_A97EE6C3_4DA8_41BD_BE43_F596EFCB43CA_.wvu.PrintArea" localSheetId="28" hidden="1">'EXHIBIT M'!$A$3:$AI$39</definedName>
    <definedName name="Z_A97EE6C3_4DA8_41BD_BE43_F596EFCB43CA_.wvu.PrintArea" localSheetId="3" hidden="1">Footnotes!$A$2:$Q$65</definedName>
    <definedName name="Z_A97EE6C3_4DA8_41BD_BE43_F596EFCB43CA_.wvu.PrintArea" localSheetId="36" hidden="1">'HCRA '!$A$3:$Z$62</definedName>
    <definedName name="Z_A97EE6C3_4DA8_41BD_BE43_F596EFCB43CA_.wvu.PrintArea" localSheetId="37" hidden="1">'HCRA PROG DISB'!$A$3:$K$109</definedName>
    <definedName name="Z_A97EE6C3_4DA8_41BD_BE43_F596EFCB43CA_.wvu.PrintArea" localSheetId="40" hidden="1">'Medicaid Disp Share'!$B$2:$K$53</definedName>
    <definedName name="Z_A97EE6C3_4DA8_41BD_BE43_F596EFCB43CA_.wvu.PrintArea" localSheetId="39" hidden="1">'Public Goods '!$A$3:$J$54</definedName>
    <definedName name="Z_A97EE6C3_4DA8_41BD_BE43_F596EFCB43CA_.wvu.PrintArea" localSheetId="29" hidden="1">'Sch 1 '!$A$3:$L$151</definedName>
    <definedName name="Z_A97EE6C3_4DA8_41BD_BE43_F596EFCB43CA_.wvu.PrintArea" localSheetId="30" hidden="1">'Sch 2 '!$A$3:$K$44</definedName>
    <definedName name="Z_A97EE6C3_4DA8_41BD_BE43_F596EFCB43CA_.wvu.PrintArea" localSheetId="31" hidden="1">'Sch 3 '!$A$2:$M$48</definedName>
    <definedName name="Z_A97EE6C3_4DA8_41BD_BE43_F596EFCB43CA_.wvu.PrintArea" localSheetId="32" hidden="1">'Sch 4'!$A$3:$J$35</definedName>
    <definedName name="Z_A97EE6C3_4DA8_41BD_BE43_F596EFCB43CA_.wvu.PrintArea" localSheetId="33" hidden="1">'Sch 5 '!$A$3:$S$65</definedName>
    <definedName name="Z_A97EE6C3_4DA8_41BD_BE43_F596EFCB43CA_.wvu.PrintArea" localSheetId="34" hidden="1">'Sch 5a '!$B$3:$W$62</definedName>
    <definedName name="Z_A97EE6C3_4DA8_41BD_BE43_F596EFCB43CA_.wvu.PrintArea" localSheetId="35" hidden="1">'Sch 6'!$A$3:$J$37</definedName>
    <definedName name="Z_A97EE6C3_4DA8_41BD_BE43_F596EFCB43CA_.wvu.PrintArea" localSheetId="0" hidden="1">'Table of Contents'!$A$1:$J$65</definedName>
    <definedName name="Z_A97EE6C3_4DA8_41BD_BE43_F596EFCB43CA_.wvu.PrintTitles" localSheetId="22" hidden="1">' Exhbit I '!$3:$13</definedName>
    <definedName name="Z_A97EE6C3_4DA8_41BD_BE43_F596EFCB43CA_.wvu.PrintTitles" localSheetId="23" hidden="1">' Exhibit I State'!$3:$14</definedName>
    <definedName name="Z_A97EE6C3_4DA8_41BD_BE43_F596EFCB43CA_.wvu.PrintTitles" localSheetId="42" hidden="1">'Appendix G'!$2:$8</definedName>
    <definedName name="Z_A97EE6C3_4DA8_41BD_BE43_F596EFCB43CA_.wvu.PrintTitles" localSheetId="38" hidden="1">'ARRA '!$3:$8</definedName>
    <definedName name="Z_A97EE6C3_4DA8_41BD_BE43_F596EFCB43CA_.wvu.PrintTitles" localSheetId="16" hidden="1">'Cash Flow State Operating'!$3:$15</definedName>
    <definedName name="Z_A97EE6C3_4DA8_41BD_BE43_F596EFCB43CA_.wvu.PrintTitles" localSheetId="15" hidden="1">'Cashflow Governmental'!$3:$15</definedName>
    <definedName name="Z_A97EE6C3_4DA8_41BD_BE43_F596EFCB43CA_.wvu.PrintTitles" localSheetId="17" hidden="1">'Exh F'!$5:$13</definedName>
    <definedName name="Z_A97EE6C3_4DA8_41BD_BE43_F596EFCB43CA_.wvu.PrintTitles" localSheetId="18" hidden="1">'Exhibit G'!$4:$13</definedName>
    <definedName name="Z_A97EE6C3_4DA8_41BD_BE43_F596EFCB43CA_.wvu.PrintTitles" localSheetId="20" hidden="1">'Exhibit G Federal'!$3:$13</definedName>
    <definedName name="Z_A97EE6C3_4DA8_41BD_BE43_F596EFCB43CA_.wvu.PrintTitles" localSheetId="19" hidden="1">'Exhibit G state'!$3:$13</definedName>
    <definedName name="Z_A97EE6C3_4DA8_41BD_BE43_F596EFCB43CA_.wvu.PrintTitles" localSheetId="21" hidden="1">'Exhibit H'!$3:$10</definedName>
    <definedName name="Z_A97EE6C3_4DA8_41BD_BE43_F596EFCB43CA_.wvu.PrintTitles" localSheetId="24" hidden="1">'Exhibit I Federal'!$3:$14</definedName>
    <definedName name="Z_A97EE6C3_4DA8_41BD_BE43_F596EFCB43CA_.wvu.PrintTitles" localSheetId="37" hidden="1">'HCRA PROG DISB'!$3:$8</definedName>
    <definedName name="Z_A97EE6C3_4DA8_41BD_BE43_F596EFCB43CA_.wvu.PrintTitles" localSheetId="39" hidden="1">'Public Goods '!$5:$11</definedName>
    <definedName name="Z_A97EE6C3_4DA8_41BD_BE43_F596EFCB43CA_.wvu.PrintTitles" localSheetId="29" hidden="1">'Sch 1 '!$3:$10</definedName>
    <definedName name="Z_A97EE6C3_4DA8_41BD_BE43_F596EFCB43CA_.wvu.PrintTitles" localSheetId="0" hidden="1">'Table of Contents'!$1:$12</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'!$A$3:$AK$59</definedName>
    <definedName name="Z_BD09DBC2_63A5_4D9C_9B00_4281066E9389_.wvu.Cols" localSheetId="13" hidden="1">'Exh D Captl Projects State Fed'!$W:$AA</definedName>
    <definedName name="Z_BD09DBC2_63A5_4D9C_9B00_4281066E9389_.wvu.Cols" localSheetId="10" hidden="1">'Exh D Special Revenue State Fed'!$W:$AC</definedName>
    <definedName name="Z_BD09DBC2_63A5_4D9C_9B00_4281066E9389_.wvu.FilterData" localSheetId="11" hidden="1">'Exh D Debt Service'!$A$3:$A$7</definedName>
    <definedName name="Z_BD09DBC2_63A5_4D9C_9B00_4281066E9389_.wvu.FilterData" localSheetId="8" hidden="1">'Exh D General Fund  '!$A$3:$A$7</definedName>
    <definedName name="Z_BD09DBC2_63A5_4D9C_9B00_4281066E9389_.wvu.PrintArea" localSheetId="22" hidden="1">' Exhbit I '!$B$15:$AL$101</definedName>
    <definedName name="Z_BD09DBC2_63A5_4D9C_9B00_4281066E9389_.wvu.PrintArea" localSheetId="23" hidden="1">' Exhibit I State'!$B$15:$AN$99</definedName>
    <definedName name="Z_BD09DBC2_63A5_4D9C_9B00_4281066E9389_.wvu.PrintArea" localSheetId="41" hidden="1">'Appendix F'!$A$2:$AA$50</definedName>
    <definedName name="Z_BD09DBC2_63A5_4D9C_9B00_4281066E9389_.wvu.PrintArea" localSheetId="42" hidden="1">'Appendix G'!$A$2:$P$292</definedName>
    <definedName name="Z_BD09DBC2_63A5_4D9C_9B00_4281066E9389_.wvu.PrintArea" localSheetId="38" hidden="1">'ARRA '!$A$3:$J$102</definedName>
    <definedName name="Z_BD09DBC2_63A5_4D9C_9B00_4281066E9389_.wvu.PrintArea" localSheetId="16" hidden="1">'Cash Flow State Operating'!$A$3:$AJ$142</definedName>
    <definedName name="Z_BD09DBC2_63A5_4D9C_9B00_4281066E9389_.wvu.PrintArea" localSheetId="15" hidden="1">'Cashflow Governmental'!$A$16:$AJ$144</definedName>
    <definedName name="Z_BD09DBC2_63A5_4D9C_9B00_4281066E9389_.wvu.PrintArea" localSheetId="2" hidden="1">'Exh A Supp'!$A$3:$AF$65</definedName>
    <definedName name="Z_BD09DBC2_63A5_4D9C_9B00_4281066E9389_.wvu.PrintArea" localSheetId="4" hidden="1">'Exh B'!$A$3:$V$47</definedName>
    <definedName name="Z_BD09DBC2_63A5_4D9C_9B00_4281066E9389_.wvu.PrintArea" localSheetId="5" hidden="1">'Exh C'!$A$3:$U$44</definedName>
    <definedName name="Z_BD09DBC2_63A5_4D9C_9B00_4281066E9389_.wvu.PrintArea" localSheetId="12" hidden="1">'Exh D Capital Projects'!$A$3:$K$44</definedName>
    <definedName name="Z_BD09DBC2_63A5_4D9C_9B00_4281066E9389_.wvu.PrintArea" localSheetId="13" hidden="1">'Exh D Captl Projects State Fed'!$A$3:$AA$44</definedName>
    <definedName name="Z_BD09DBC2_63A5_4D9C_9B00_4281066E9389_.wvu.PrintArea" localSheetId="11" hidden="1">'Exh D Debt Service'!$A$3:$K$43</definedName>
    <definedName name="Z_BD09DBC2_63A5_4D9C_9B00_4281066E9389_.wvu.PrintArea" localSheetId="8" hidden="1">'Exh D General Fund  '!$A$3:$K$56</definedName>
    <definedName name="Z_BD09DBC2_63A5_4D9C_9B00_4281066E9389_.wvu.PrintArea" localSheetId="9" hidden="1">'Exh D Special Revenue'!$A$3:$K$48</definedName>
    <definedName name="Z_BD09DBC2_63A5_4D9C_9B00_4281066E9389_.wvu.PrintArea" localSheetId="10" hidden="1">'Exh D Special Revenue State Fed'!$A$3:$AB$45</definedName>
    <definedName name="Z_BD09DBC2_63A5_4D9C_9B00_4281066E9389_.wvu.PrintArea" localSheetId="7" hidden="1">'Exh D State Operating'!$A$3:$K$52</definedName>
    <definedName name="Z_BD09DBC2_63A5_4D9C_9B00_4281066E9389_.wvu.PrintArea" localSheetId="6" hidden="1">'Exh D-Governmental  '!$A$3:$K$54</definedName>
    <definedName name="Z_BD09DBC2_63A5_4D9C_9B00_4281066E9389_.wvu.PrintArea" localSheetId="17" hidden="1">'Exh F'!$B$14:$AK$140</definedName>
    <definedName name="Z_BD09DBC2_63A5_4D9C_9B00_4281066E9389_.wvu.PrintArea" localSheetId="1" hidden="1">'Exhibit A'!$A$3:$AI$60</definedName>
    <definedName name="Z_BD09DBC2_63A5_4D9C_9B00_4281066E9389_.wvu.PrintArea" localSheetId="14" hidden="1">'EXHIBIT E '!$A$3:$AK$59</definedName>
    <definedName name="Z_BD09DBC2_63A5_4D9C_9B00_4281066E9389_.wvu.PrintArea" localSheetId="18" hidden="1">'Exhibit G'!$B$14:$AK$125</definedName>
    <definedName name="Z_BD09DBC2_63A5_4D9C_9B00_4281066E9389_.wvu.PrintArea" localSheetId="20" hidden="1">'Exhibit G Federal'!$B$14:$AM$93</definedName>
    <definedName name="Z_BD09DBC2_63A5_4D9C_9B00_4281066E9389_.wvu.PrintArea" localSheetId="19" hidden="1">'Exhibit G state'!$B$14:$AM$121</definedName>
    <definedName name="Z_BD09DBC2_63A5_4D9C_9B00_4281066E9389_.wvu.PrintArea" localSheetId="21" hidden="1">'Exhibit H'!$A$12:$AI$71</definedName>
    <definedName name="Z_BD09DBC2_63A5_4D9C_9B00_4281066E9389_.wvu.PrintArea" localSheetId="24" hidden="1">'Exhibit I Federal'!$B$15:$AN$79</definedName>
    <definedName name="Z_BD09DBC2_63A5_4D9C_9B00_4281066E9389_.wvu.PrintArea" localSheetId="25" hidden="1">'Exhibit J'!$A$3:$AJ$58</definedName>
    <definedName name="Z_BD09DBC2_63A5_4D9C_9B00_4281066E9389_.wvu.PrintArea" localSheetId="26" hidden="1">'Exhibit K'!$A$3:$AI$53</definedName>
    <definedName name="Z_BD09DBC2_63A5_4D9C_9B00_4281066E9389_.wvu.PrintArea" localSheetId="27" hidden="1">'EXHIBIT L'!$A$4:$AI$39</definedName>
    <definedName name="Z_BD09DBC2_63A5_4D9C_9B00_4281066E9389_.wvu.PrintArea" localSheetId="28" hidden="1">'EXHIBIT M'!$A$3:$AI$39</definedName>
    <definedName name="Z_BD09DBC2_63A5_4D9C_9B00_4281066E9389_.wvu.PrintArea" localSheetId="3" hidden="1">Footnotes!$A$2:$Q$65</definedName>
    <definedName name="Z_BD09DBC2_63A5_4D9C_9B00_4281066E9389_.wvu.PrintArea" localSheetId="36" hidden="1">'HCRA '!$A$3:$Z$62</definedName>
    <definedName name="Z_BD09DBC2_63A5_4D9C_9B00_4281066E9389_.wvu.PrintArea" localSheetId="37" hidden="1">'HCRA PROG DISB'!$A$3:$K$109</definedName>
    <definedName name="Z_BD09DBC2_63A5_4D9C_9B00_4281066E9389_.wvu.PrintArea" localSheetId="40" hidden="1">'Medicaid Disp Share'!$B$2:$K$53</definedName>
    <definedName name="Z_BD09DBC2_63A5_4D9C_9B00_4281066E9389_.wvu.PrintArea" localSheetId="39" hidden="1">'Public Goods '!$A$3:$J$54</definedName>
    <definedName name="Z_BD09DBC2_63A5_4D9C_9B00_4281066E9389_.wvu.PrintArea" localSheetId="29" hidden="1">'Sch 1 '!$A$3:$L$151</definedName>
    <definedName name="Z_BD09DBC2_63A5_4D9C_9B00_4281066E9389_.wvu.PrintArea" localSheetId="30" hidden="1">'Sch 2 '!$A$3:$K$44</definedName>
    <definedName name="Z_BD09DBC2_63A5_4D9C_9B00_4281066E9389_.wvu.PrintArea" localSheetId="31" hidden="1">'Sch 3 '!$A$2:$M$48</definedName>
    <definedName name="Z_BD09DBC2_63A5_4D9C_9B00_4281066E9389_.wvu.PrintArea" localSheetId="32" hidden="1">'Sch 4'!$A$3:$J$35</definedName>
    <definedName name="Z_BD09DBC2_63A5_4D9C_9B00_4281066E9389_.wvu.PrintArea" localSheetId="33" hidden="1">'Sch 5 '!$A$3:$S$65</definedName>
    <definedName name="Z_BD09DBC2_63A5_4D9C_9B00_4281066E9389_.wvu.PrintArea" localSheetId="34" hidden="1">'Sch 5a '!$B$3:$W$62</definedName>
    <definedName name="Z_BD09DBC2_63A5_4D9C_9B00_4281066E9389_.wvu.PrintArea" localSheetId="35" hidden="1">'Sch 6'!$A$3:$J$37</definedName>
    <definedName name="Z_BD09DBC2_63A5_4D9C_9B00_4281066E9389_.wvu.PrintArea" localSheetId="0" hidden="1">'Table of Contents'!$A$1:$J$65</definedName>
    <definedName name="Z_BD09DBC2_63A5_4D9C_9B00_4281066E9389_.wvu.PrintTitles" localSheetId="22" hidden="1">' Exhbit I '!$3:$13</definedName>
    <definedName name="Z_BD09DBC2_63A5_4D9C_9B00_4281066E9389_.wvu.PrintTitles" localSheetId="23" hidden="1">' Exhibit I State'!$3:$14</definedName>
    <definedName name="Z_BD09DBC2_63A5_4D9C_9B00_4281066E9389_.wvu.PrintTitles" localSheetId="42" hidden="1">'Appendix G'!$2:$8</definedName>
    <definedName name="Z_BD09DBC2_63A5_4D9C_9B00_4281066E9389_.wvu.PrintTitles" localSheetId="38" hidden="1">'ARRA '!$3:$8</definedName>
    <definedName name="Z_BD09DBC2_63A5_4D9C_9B00_4281066E9389_.wvu.PrintTitles" localSheetId="16" hidden="1">'Cash Flow State Operating'!$4:$15</definedName>
    <definedName name="Z_BD09DBC2_63A5_4D9C_9B00_4281066E9389_.wvu.PrintTitles" localSheetId="15" hidden="1">'Cashflow Governmental'!$3:$15</definedName>
    <definedName name="Z_BD09DBC2_63A5_4D9C_9B00_4281066E9389_.wvu.PrintTitles" localSheetId="17" hidden="1">'Exh F'!$5:$13</definedName>
    <definedName name="Z_BD09DBC2_63A5_4D9C_9B00_4281066E9389_.wvu.PrintTitles" localSheetId="18" hidden="1">'Exhibit G'!$4:$13</definedName>
    <definedName name="Z_BD09DBC2_63A5_4D9C_9B00_4281066E9389_.wvu.PrintTitles" localSheetId="20" hidden="1">'Exhibit G Federal'!$3:$13</definedName>
    <definedName name="Z_BD09DBC2_63A5_4D9C_9B00_4281066E9389_.wvu.PrintTitles" localSheetId="19" hidden="1">'Exhibit G state'!$3:$13</definedName>
    <definedName name="Z_BD09DBC2_63A5_4D9C_9B00_4281066E9389_.wvu.PrintTitles" localSheetId="21" hidden="1">'Exhibit H'!$3:$10</definedName>
    <definedName name="Z_BD09DBC2_63A5_4D9C_9B00_4281066E9389_.wvu.PrintTitles" localSheetId="24" hidden="1">'Exhibit I Federal'!$3:$14</definedName>
    <definedName name="Z_BD09DBC2_63A5_4D9C_9B00_4281066E9389_.wvu.PrintTitles" localSheetId="37" hidden="1">'HCRA PROG DISB'!$3:$8</definedName>
    <definedName name="Z_BD09DBC2_63A5_4D9C_9B00_4281066E9389_.wvu.PrintTitles" localSheetId="39" hidden="1">'Public Goods '!$5:$11</definedName>
    <definedName name="Z_BD09DBC2_63A5_4D9C_9B00_4281066E9389_.wvu.PrintTitles" localSheetId="29" hidden="1">'Sch 1 '!$3:$10</definedName>
    <definedName name="Z_BD09DBC2_63A5_4D9C_9B00_4281066E9389_.wvu.PrintTitles" localSheetId="0" hidden="1">'Table of Contents'!$1:$12</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82E0A7D_2B5B_48FC_A705_3168E651E04C_.wvu.Cols" localSheetId="13" hidden="1">'Exh D Captl Projects State Fed'!$W:$AA</definedName>
    <definedName name="Z_C82E0A7D_2B5B_48FC_A705_3168E651E04C_.wvu.Cols" localSheetId="10" hidden="1">'Exh D Special Revenue State Fed'!$W:$AC</definedName>
    <definedName name="Z_C82E0A7D_2B5B_48FC_A705_3168E651E04C_.wvu.FilterData" localSheetId="11" hidden="1">'Exh D Debt Service'!$A$3:$A$7</definedName>
    <definedName name="Z_C82E0A7D_2B5B_48FC_A705_3168E651E04C_.wvu.FilterData" localSheetId="8" hidden="1">'Exh D General Fund  '!$A$3:$A$7</definedName>
    <definedName name="Z_C82E0A7D_2B5B_48FC_A705_3168E651E04C_.wvu.PrintArea" localSheetId="22" hidden="1">' Exhbit I '!$B$15:$AL$101</definedName>
    <definedName name="Z_C82E0A7D_2B5B_48FC_A705_3168E651E04C_.wvu.PrintArea" localSheetId="23" hidden="1">' Exhibit I State'!$B$15:$AN$99</definedName>
    <definedName name="Z_C82E0A7D_2B5B_48FC_A705_3168E651E04C_.wvu.PrintArea" localSheetId="41" hidden="1">'Appendix F'!$A$2:$AA$50</definedName>
    <definedName name="Z_C82E0A7D_2B5B_48FC_A705_3168E651E04C_.wvu.PrintArea" localSheetId="42" hidden="1">'Appendix G'!$A$2:$P$292</definedName>
    <definedName name="Z_C82E0A7D_2B5B_48FC_A705_3168E651E04C_.wvu.PrintArea" localSheetId="38" hidden="1">'ARRA '!$A$3:$J$102</definedName>
    <definedName name="Z_C82E0A7D_2B5B_48FC_A705_3168E651E04C_.wvu.PrintArea" localSheetId="16" hidden="1">'Cash Flow State Operating'!$A$3:$AJ$144</definedName>
    <definedName name="Z_C82E0A7D_2B5B_48FC_A705_3168E651E04C_.wvu.PrintArea" localSheetId="15" hidden="1">'Cashflow Governmental'!$A$16:$AJ$144</definedName>
    <definedName name="Z_C82E0A7D_2B5B_48FC_A705_3168E651E04C_.wvu.PrintArea" localSheetId="13" hidden="1">'Exh D Captl Projects State Fed'!$A$3:$AA$44</definedName>
    <definedName name="Z_C82E0A7D_2B5B_48FC_A705_3168E651E04C_.wvu.PrintArea" localSheetId="9" hidden="1">'Exh D Special Revenue'!$A$3:$K$48</definedName>
    <definedName name="Z_C82E0A7D_2B5B_48FC_A705_3168E651E04C_.wvu.PrintArea" localSheetId="10" hidden="1">'Exh D Special Revenue State Fed'!$A$3:$AB$45</definedName>
    <definedName name="Z_C82E0A7D_2B5B_48FC_A705_3168E651E04C_.wvu.PrintArea" localSheetId="1" hidden="1">'Exhibit A'!$A$3:$AI$60</definedName>
    <definedName name="Z_C82E0A7D_2B5B_48FC_A705_3168E651E04C_.wvu.PrintArea" localSheetId="14" hidden="1">'EXHIBIT E '!$A$3:$AK$59</definedName>
    <definedName name="Z_C82E0A7D_2B5B_48FC_A705_3168E651E04C_.wvu.PrintArea" localSheetId="18" hidden="1">'Exhibit G'!$A$2:$AK$122</definedName>
    <definedName name="Z_C82E0A7D_2B5B_48FC_A705_3168E651E04C_.wvu.PrintArea" localSheetId="20" hidden="1">'Exhibit G Federal'!$B$14:$AM$93</definedName>
    <definedName name="Z_C82E0A7D_2B5B_48FC_A705_3168E651E04C_.wvu.PrintArea" localSheetId="19" hidden="1">'Exhibit G state'!$B$14:$AM$121</definedName>
    <definedName name="Z_C82E0A7D_2B5B_48FC_A705_3168E651E04C_.wvu.PrintArea" localSheetId="21" hidden="1">'Exhibit H'!$A$12:$AI$71</definedName>
    <definedName name="Z_C82E0A7D_2B5B_48FC_A705_3168E651E04C_.wvu.PrintArea" localSheetId="24" hidden="1">'Exhibit I Federal'!$B$15:$AN$79</definedName>
    <definedName name="Z_C82E0A7D_2B5B_48FC_A705_3168E651E04C_.wvu.PrintArea" localSheetId="25" hidden="1">'Exhibit J'!$A$3:$AJ$58</definedName>
    <definedName name="Z_C82E0A7D_2B5B_48FC_A705_3168E651E04C_.wvu.PrintArea" localSheetId="26" hidden="1">'Exhibit K'!$A$3:$AI$53</definedName>
    <definedName name="Z_C82E0A7D_2B5B_48FC_A705_3168E651E04C_.wvu.PrintArea" localSheetId="27" hidden="1">'EXHIBIT L'!$A$3:$AI$39</definedName>
    <definedName name="Z_C82E0A7D_2B5B_48FC_A705_3168E651E04C_.wvu.PrintArea" localSheetId="28" hidden="1">'EXHIBIT M'!$A$3:$AI$39</definedName>
    <definedName name="Z_C82E0A7D_2B5B_48FC_A705_3168E651E04C_.wvu.PrintArea" localSheetId="3" hidden="1">Footnotes!$A$2:$Q$65</definedName>
    <definedName name="Z_C82E0A7D_2B5B_48FC_A705_3168E651E04C_.wvu.PrintArea" localSheetId="36" hidden="1">'HCRA '!$A$3:$Z$62</definedName>
    <definedName name="Z_C82E0A7D_2B5B_48FC_A705_3168E651E04C_.wvu.PrintArea" localSheetId="37" hidden="1">'HCRA PROG DISB'!$A$3:$K$109</definedName>
    <definedName name="Z_C82E0A7D_2B5B_48FC_A705_3168E651E04C_.wvu.PrintArea" localSheetId="40" hidden="1">'Medicaid Disp Share'!$B$2:$K$53</definedName>
    <definedName name="Z_C82E0A7D_2B5B_48FC_A705_3168E651E04C_.wvu.PrintArea" localSheetId="39" hidden="1">'Public Goods '!$A$3:$J$54</definedName>
    <definedName name="Z_C82E0A7D_2B5B_48FC_A705_3168E651E04C_.wvu.PrintArea" localSheetId="29" hidden="1">'Sch 1 '!$A$3:$L$151</definedName>
    <definedName name="Z_C82E0A7D_2B5B_48FC_A705_3168E651E04C_.wvu.PrintArea" localSheetId="30" hidden="1">'Sch 2 '!$A$3:$K$44</definedName>
    <definedName name="Z_C82E0A7D_2B5B_48FC_A705_3168E651E04C_.wvu.PrintArea" localSheetId="31" hidden="1">'Sch 3 '!$A$2:$M$48</definedName>
    <definedName name="Z_C82E0A7D_2B5B_48FC_A705_3168E651E04C_.wvu.PrintArea" localSheetId="32" hidden="1">'Sch 4'!$A$3:$J$35</definedName>
    <definedName name="Z_C82E0A7D_2B5B_48FC_A705_3168E651E04C_.wvu.PrintArea" localSheetId="33" hidden="1">'Sch 5 '!$A$3:$S$65</definedName>
    <definedName name="Z_C82E0A7D_2B5B_48FC_A705_3168E651E04C_.wvu.PrintArea" localSheetId="34" hidden="1">'Sch 5a '!$B$3:$W$62</definedName>
    <definedName name="Z_C82E0A7D_2B5B_48FC_A705_3168E651E04C_.wvu.PrintArea" localSheetId="35" hidden="1">'Sch 6'!$A$3:$J$37</definedName>
    <definedName name="Z_C82E0A7D_2B5B_48FC_A705_3168E651E04C_.wvu.PrintArea" localSheetId="0" hidden="1">'Table of Contents'!$A$1:$J$65</definedName>
    <definedName name="Z_C82E0A7D_2B5B_48FC_A705_3168E651E04C_.wvu.PrintTitles" localSheetId="22" hidden="1">' Exhbit I '!$3:$13</definedName>
    <definedName name="Z_C82E0A7D_2B5B_48FC_A705_3168E651E04C_.wvu.PrintTitles" localSheetId="23" hidden="1">' Exhibit I State'!$3:$14</definedName>
    <definedName name="Z_C82E0A7D_2B5B_48FC_A705_3168E651E04C_.wvu.PrintTitles" localSheetId="42" hidden="1">'Appendix G'!$2:$8</definedName>
    <definedName name="Z_C82E0A7D_2B5B_48FC_A705_3168E651E04C_.wvu.PrintTitles" localSheetId="38" hidden="1">'ARRA '!$3:$8</definedName>
    <definedName name="Z_C82E0A7D_2B5B_48FC_A705_3168E651E04C_.wvu.PrintTitles" localSheetId="16" hidden="1">'Cash Flow State Operating'!$3:$15</definedName>
    <definedName name="Z_C82E0A7D_2B5B_48FC_A705_3168E651E04C_.wvu.PrintTitles" localSheetId="15" hidden="1">'Cashflow Governmental'!$3:$15</definedName>
    <definedName name="Z_C82E0A7D_2B5B_48FC_A705_3168E651E04C_.wvu.PrintTitles" localSheetId="18" hidden="1">'Exhibit G'!$4:$13</definedName>
    <definedName name="Z_C82E0A7D_2B5B_48FC_A705_3168E651E04C_.wvu.PrintTitles" localSheetId="20" hidden="1">'Exhibit G Federal'!$3:$13</definedName>
    <definedName name="Z_C82E0A7D_2B5B_48FC_A705_3168E651E04C_.wvu.PrintTitles" localSheetId="19" hidden="1">'Exhibit G state'!$3:$13</definedName>
    <definedName name="Z_C82E0A7D_2B5B_48FC_A705_3168E651E04C_.wvu.PrintTitles" localSheetId="21" hidden="1">'Exhibit H'!$3:$10</definedName>
    <definedName name="Z_C82E0A7D_2B5B_48FC_A705_3168E651E04C_.wvu.PrintTitles" localSheetId="24" hidden="1">'Exhibit I Federal'!$3:$14</definedName>
    <definedName name="Z_C82E0A7D_2B5B_48FC_A705_3168E651E04C_.wvu.PrintTitles" localSheetId="37" hidden="1">'HCRA PROG DISB'!$3:$8</definedName>
    <definedName name="Z_C82E0A7D_2B5B_48FC_A705_3168E651E04C_.wvu.PrintTitles" localSheetId="39" hidden="1">'Public Goods '!$5:$11</definedName>
    <definedName name="Z_C82E0A7D_2B5B_48FC_A705_3168E651E04C_.wvu.PrintTitles" localSheetId="29" hidden="1">'Sch 1 '!$3:$10</definedName>
    <definedName name="Z_C82E0A7D_2B5B_48FC_A705_3168E651E04C_.wvu.PrintTitles" localSheetId="0" hidden="1">'Table of Contents'!$1:$12</definedName>
    <definedName name="Z_DD49A576_6A97_4014_97C2_4199FF1215BD_.wvu.PrintArea" localSheetId="1" hidden="1">'Exhibit A'!$A$3:$AI$60</definedName>
    <definedName name="Z_E071CE29_155D_4A9F_9B3B_7DDF9ED42A6D_.wvu.FilterData" localSheetId="8" hidden="1">'Exh D General Fund  '!$A$3:$A$7</definedName>
    <definedName name="Z_E7A86177_7B19_421F_A256_D31A4A7193C1_.wvu.PrintArea" localSheetId="24" hidden="1">'Exhibit I Federal'!$B$3:$AN$79</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F06BD761_76B1_40BA_98BC_E9348D386469_.wvu.PrintArea" localSheetId="14" hidden="1">'EXHIBIT E '!$A$3:$AK$59</definedName>
    <definedName name="Z_F5928AC6_9FDA_425C_8625_096ED0D736C9_.wvu.FilterData" localSheetId="11" hidden="1">'Exh D Debt Service'!$A$3:$A$7</definedName>
    <definedName name="Z_FF6A1557_A1BA_4E89_BE0D_61E8805E56CD_.wvu.PrintArea" localSheetId="1" hidden="1">'Exhibit A'!$A$3:$AI$60</definedName>
  </definedNames>
  <calcPr calcId="125725"/>
  <customWorkbookViews>
    <customWorkbookView name="mclayton - Personal View" guid="{BD09DBC2-63A5-4D9C-9B00-4281066E9389}" mergeInterval="0" personalView="1" maximized="1" xWindow="1432" yWindow="-8" windowWidth="1456" windowHeight="916" tabRatio="593" activeSheetId="39"/>
    <customWorkbookView name="ctuohy - Personal View" guid="{C82E0A7D-2B5B-48FC-A705-3168E651E04C}" mergeInterval="0" personalView="1" maximized="1" xWindow="1" yWindow="1" windowWidth="1440" windowHeight="709" activeSheetId="30"/>
    <customWorkbookView name="bjiang - Personal View" guid="{A8B05C3B-0E7E-44A3-A097-AF4C5C09F04E}" mergeInterval="0" personalView="1" maximized="1" xWindow="1" yWindow="1" windowWidth="1440" windowHeight="647" tabRatio="891" activeSheetId="32"/>
    <customWorkbookView name="ctuohy - Personal View (2)" guid="{8EE6466D-211E-4E05-9F84-CC0A1C6F79F4}" mergeInterval="0" personalView="1" maximized="1" xWindow="1" yWindow="1" windowWidth="1440" windowHeight="628" activeSheetId="35"/>
    <customWorkbookView name="cpiser - Personal View" guid="{4735AAE3-27B4-4549-AAB4-50ACA997F5F5}" mergeInterval="0" personalView="1" maximized="1" xWindow="1" yWindow="1" windowWidth="1440" windowHeight="669" tabRatio="510" activeSheetId="17"/>
    <customWorkbookView name="gcerio - Personal View" guid="{80622567-647A-4891-B8EE-6B9E2C4DAC44}" mergeInterval="0" personalView="1" maximized="1" xWindow="1" yWindow="1" windowWidth="1440" windowHeight="709" activeSheetId="41"/>
    <customWorkbookView name="amedford - Personal View" guid="{A97EE6C3-4DA8-41BD-BE43-F596EFCB43CA}" mergeInterval="0" personalView="1" maximized="1" xWindow="1" yWindow="1" windowWidth="1440" windowHeight="670" activeSheetId="1"/>
    <customWorkbookView name="Stephen Raptoulis - Personal View" guid="{90B76C5A-2FC4-40F0-8436-3E4F075A4887}" mergeInterval="0" personalView="1" maximized="1" xWindow="1" yWindow="1" windowWidth="1440" windowHeight="673" activeSheetId="1"/>
  </customWorkbookViews>
</workbook>
</file>

<file path=xl/calcChain.xml><?xml version="1.0" encoding="utf-8"?>
<calcChain xmlns="http://schemas.openxmlformats.org/spreadsheetml/2006/main">
  <c r="AC24" i="18"/>
  <c r="F44" i="41"/>
  <c r="F37"/>
  <c r="F23"/>
  <c r="F17"/>
  <c r="F25" s="1"/>
  <c r="K99" i="38"/>
  <c r="K98"/>
  <c r="I96"/>
  <c r="I100" s="1"/>
  <c r="G96"/>
  <c r="G100" s="1"/>
  <c r="E96"/>
  <c r="E100" s="1"/>
  <c r="C96"/>
  <c r="C100" s="1"/>
  <c r="K95"/>
  <c r="K94"/>
  <c r="K93"/>
  <c r="K92"/>
  <c r="K90"/>
  <c r="K88"/>
  <c r="K86"/>
  <c r="K85"/>
  <c r="K84"/>
  <c r="K83"/>
  <c r="K82"/>
  <c r="K81"/>
  <c r="K80"/>
  <c r="K79"/>
  <c r="K78"/>
  <c r="K77"/>
  <c r="K76"/>
  <c r="K75"/>
  <c r="K74"/>
  <c r="K73"/>
  <c r="K71"/>
  <c r="K70"/>
  <c r="K69"/>
  <c r="K68"/>
  <c r="K67"/>
  <c r="K66"/>
  <c r="K65"/>
  <c r="K64"/>
  <c r="K63"/>
  <c r="K62"/>
  <c r="K61"/>
  <c r="K60"/>
  <c r="K59"/>
  <c r="K58"/>
  <c r="K57"/>
  <c r="K56"/>
  <c r="K55"/>
  <c r="K54"/>
  <c r="K53"/>
  <c r="K52"/>
  <c r="K51"/>
  <c r="K50"/>
  <c r="K49"/>
  <c r="K48"/>
  <c r="K47"/>
  <c r="K46"/>
  <c r="K45"/>
  <c r="K44"/>
  <c r="K43"/>
  <c r="K41"/>
  <c r="K39"/>
  <c r="K37"/>
  <c r="K35"/>
  <c r="K33"/>
  <c r="K32"/>
  <c r="K31"/>
  <c r="K30"/>
  <c r="K29"/>
  <c r="K28"/>
  <c r="K27"/>
  <c r="K26"/>
  <c r="K25"/>
  <c r="K24"/>
  <c r="K23"/>
  <c r="K22"/>
  <c r="K21"/>
  <c r="K20"/>
  <c r="K19"/>
  <c r="K18"/>
  <c r="K17"/>
  <c r="K15"/>
  <c r="K14"/>
  <c r="K13"/>
  <c r="K12"/>
  <c r="K11"/>
  <c r="K10"/>
  <c r="F47" i="41" l="1"/>
  <c r="K96" i="38"/>
  <c r="K100" s="1"/>
  <c r="E47" i="40"/>
  <c r="E38"/>
  <c r="E28"/>
  <c r="E22"/>
  <c r="AD52" i="15"/>
  <c r="AB52"/>
  <c r="R52"/>
  <c r="P52"/>
  <c r="N52"/>
  <c r="L52"/>
  <c r="J52"/>
  <c r="H52"/>
  <c r="F52"/>
  <c r="D52"/>
  <c r="X51"/>
  <c r="AH51" s="1"/>
  <c r="AJ51" s="1"/>
  <c r="V51"/>
  <c r="X50"/>
  <c r="AH50" s="1"/>
  <c r="AJ50" s="1"/>
  <c r="V50"/>
  <c r="X49"/>
  <c r="AH49" s="1"/>
  <c r="AJ49" s="1"/>
  <c r="V49"/>
  <c r="X48"/>
  <c r="AH48" s="1"/>
  <c r="AJ48" s="1"/>
  <c r="V48"/>
  <c r="X47"/>
  <c r="AH47" s="1"/>
  <c r="AJ47" s="1"/>
  <c r="V47"/>
  <c r="X46"/>
  <c r="V46"/>
  <c r="V52" s="1"/>
  <c r="AD43"/>
  <c r="AB43"/>
  <c r="R43"/>
  <c r="P43"/>
  <c r="N43"/>
  <c r="L43"/>
  <c r="J43"/>
  <c r="H43"/>
  <c r="F43"/>
  <c r="D43"/>
  <c r="X42"/>
  <c r="AH42" s="1"/>
  <c r="AJ42" s="1"/>
  <c r="V42"/>
  <c r="X41"/>
  <c r="AH41" s="1"/>
  <c r="AJ41" s="1"/>
  <c r="V41"/>
  <c r="X40"/>
  <c r="AH40" s="1"/>
  <c r="AJ40" s="1"/>
  <c r="V40"/>
  <c r="AH39"/>
  <c r="AJ39" s="1"/>
  <c r="X39"/>
  <c r="V39"/>
  <c r="X38"/>
  <c r="X43" s="1"/>
  <c r="AH43" s="1"/>
  <c r="AJ43" s="1"/>
  <c r="V38"/>
  <c r="AD35"/>
  <c r="AB35"/>
  <c r="R35"/>
  <c r="P35"/>
  <c r="N35"/>
  <c r="L35"/>
  <c r="J35"/>
  <c r="H35"/>
  <c r="F35"/>
  <c r="D35"/>
  <c r="X34"/>
  <c r="AH34" s="1"/>
  <c r="AJ34" s="1"/>
  <c r="V34"/>
  <c r="X33"/>
  <c r="AH33" s="1"/>
  <c r="AJ33" s="1"/>
  <c r="V33"/>
  <c r="X32"/>
  <c r="AH32" s="1"/>
  <c r="AJ32" s="1"/>
  <c r="V32"/>
  <c r="X31"/>
  <c r="AH31" s="1"/>
  <c r="AJ31" s="1"/>
  <c r="V31"/>
  <c r="X30"/>
  <c r="AH30" s="1"/>
  <c r="AJ30" s="1"/>
  <c r="V30"/>
  <c r="X29"/>
  <c r="AH29" s="1"/>
  <c r="AJ29" s="1"/>
  <c r="V29"/>
  <c r="X28"/>
  <c r="X35" s="1"/>
  <c r="AH35" s="1"/>
  <c r="AJ35" s="1"/>
  <c r="V28"/>
  <c r="V35" s="1"/>
  <c r="X24"/>
  <c r="AH24" s="1"/>
  <c r="AJ24" s="1"/>
  <c r="V24"/>
  <c r="AJ23"/>
  <c r="AH23"/>
  <c r="AJ22"/>
  <c r="AH22"/>
  <c r="AD21"/>
  <c r="AD25" s="1"/>
  <c r="AD54" s="1"/>
  <c r="AB21"/>
  <c r="AB25" s="1"/>
  <c r="AB54" s="1"/>
  <c r="R21"/>
  <c r="R25" s="1"/>
  <c r="P21"/>
  <c r="P25" s="1"/>
  <c r="P54" s="1"/>
  <c r="N21"/>
  <c r="N25" s="1"/>
  <c r="N54" s="1"/>
  <c r="L21"/>
  <c r="L25" s="1"/>
  <c r="J21"/>
  <c r="J25" s="1"/>
  <c r="H21"/>
  <c r="H25" s="1"/>
  <c r="H54" s="1"/>
  <c r="F21"/>
  <c r="F25" s="1"/>
  <c r="F54" s="1"/>
  <c r="D21"/>
  <c r="D25" s="1"/>
  <c r="X20"/>
  <c r="AH20" s="1"/>
  <c r="AJ20" s="1"/>
  <c r="V20"/>
  <c r="X19"/>
  <c r="AH19" s="1"/>
  <c r="AJ19" s="1"/>
  <c r="V19"/>
  <c r="X18"/>
  <c r="AH18" s="1"/>
  <c r="AJ18" s="1"/>
  <c r="V18"/>
  <c r="X17"/>
  <c r="AH17" s="1"/>
  <c r="AJ17" s="1"/>
  <c r="V17"/>
  <c r="X16"/>
  <c r="V16"/>
  <c r="V21" s="1"/>
  <c r="X13"/>
  <c r="V13"/>
  <c r="R13"/>
  <c r="P13"/>
  <c r="N13"/>
  <c r="L13"/>
  <c r="J13"/>
  <c r="H13"/>
  <c r="AD12"/>
  <c r="X12"/>
  <c r="R12"/>
  <c r="N12"/>
  <c r="J12"/>
  <c r="K43" i="41"/>
  <c r="K41"/>
  <c r="K40"/>
  <c r="K36"/>
  <c r="K35"/>
  <c r="K34"/>
  <c r="K33"/>
  <c r="K32"/>
  <c r="K22"/>
  <c r="K20"/>
  <c r="K16"/>
  <c r="K17" s="1"/>
  <c r="H44"/>
  <c r="H37"/>
  <c r="H23"/>
  <c r="H17"/>
  <c r="G47" i="40"/>
  <c r="G38"/>
  <c r="G28"/>
  <c r="G22"/>
  <c r="AB111" i="20"/>
  <c r="X21" i="15" l="1"/>
  <c r="AH21" s="1"/>
  <c r="AJ21" s="1"/>
  <c r="X52"/>
  <c r="AH52" s="1"/>
  <c r="AJ52" s="1"/>
  <c r="AH16"/>
  <c r="AJ16" s="1"/>
  <c r="AH38"/>
  <c r="AJ38" s="1"/>
  <c r="V25"/>
  <c r="D54"/>
  <c r="L54"/>
  <c r="AH28"/>
  <c r="AJ28" s="1"/>
  <c r="V43"/>
  <c r="J54"/>
  <c r="R54"/>
  <c r="G30" i="40"/>
  <c r="G50" s="1"/>
  <c r="E30"/>
  <c r="E50" s="1"/>
  <c r="X25" i="15"/>
  <c r="AH46"/>
  <c r="AJ46" s="1"/>
  <c r="H25" i="41"/>
  <c r="H47" s="1"/>
  <c r="J92" i="39"/>
  <c r="H92"/>
  <c r="J87"/>
  <c r="H87"/>
  <c r="J78"/>
  <c r="H78"/>
  <c r="J69"/>
  <c r="H69"/>
  <c r="J65"/>
  <c r="H65"/>
  <c r="J48"/>
  <c r="H48"/>
  <c r="J43"/>
  <c r="H43"/>
  <c r="J31"/>
  <c r="H31"/>
  <c r="H94" l="1"/>
  <c r="J94"/>
  <c r="V54" i="15"/>
  <c r="AH25"/>
  <c r="AJ25" s="1"/>
  <c r="X54"/>
  <c r="AH54" s="1"/>
  <c r="AJ54" s="1"/>
  <c r="L50" i="2"/>
  <c r="L49"/>
  <c r="L40"/>
  <c r="L37"/>
  <c r="L19"/>
  <c r="L14"/>
  <c r="P48" l="1"/>
  <c r="Q59" i="23"/>
  <c r="P19" i="2" s="1"/>
  <c r="H52" i="3" l="1"/>
  <c r="H51"/>
  <c r="H44"/>
  <c r="H41"/>
  <c r="H40"/>
  <c r="H39"/>
  <c r="H36"/>
  <c r="H35"/>
  <c r="H34"/>
  <c r="H33"/>
  <c r="H32"/>
  <c r="H31"/>
  <c r="H29"/>
  <c r="H28"/>
  <c r="H27"/>
  <c r="H22"/>
  <c r="H17"/>
  <c r="Q90" i="23"/>
  <c r="P50" i="2" s="1"/>
  <c r="Q89" i="23"/>
  <c r="P49" i="2" s="1"/>
  <c r="Q80" i="23"/>
  <c r="P41" i="2" s="1"/>
  <c r="Q74" i="23"/>
  <c r="P33" i="2" s="1"/>
  <c r="Q73" i="23"/>
  <c r="P32" i="2" s="1"/>
  <c r="Q72" i="23"/>
  <c r="P31" i="2" s="1"/>
  <c r="Q71" i="23"/>
  <c r="P30" i="2" s="1"/>
  <c r="Q70" i="23"/>
  <c r="P29" i="2" s="1"/>
  <c r="Q69" i="23"/>
  <c r="P28" i="2" s="1"/>
  <c r="Q67" i="23"/>
  <c r="P26" i="2" s="1"/>
  <c r="Q66" i="23"/>
  <c r="P25" i="2" s="1"/>
  <c r="Q65" i="23"/>
  <c r="P24" i="2" s="1"/>
  <c r="Q30" i="23"/>
  <c r="Q27"/>
  <c r="Q26"/>
  <c r="Q25"/>
  <c r="Q22"/>
  <c r="Q21"/>
  <c r="Q20"/>
  <c r="Q56"/>
  <c r="Q55"/>
  <c r="Q54"/>
  <c r="Q53"/>
  <c r="Q52"/>
  <c r="Q50"/>
  <c r="Q49"/>
  <c r="Q48"/>
  <c r="Q47"/>
  <c r="Q45"/>
  <c r="Q44"/>
  <c r="Q43"/>
  <c r="Q42"/>
  <c r="Q41"/>
  <c r="Q39"/>
  <c r="Q37"/>
  <c r="H50" i="2"/>
  <c r="H49"/>
  <c r="AC122" i="18" l="1"/>
  <c r="AC120"/>
  <c r="B35" i="5"/>
  <c r="B36"/>
  <c r="B28"/>
  <c r="B27"/>
  <c r="B26"/>
  <c r="B25"/>
  <c r="B20"/>
  <c r="B19"/>
  <c r="B18"/>
  <c r="B33" i="6"/>
  <c r="B32"/>
  <c r="B25"/>
  <c r="B24"/>
  <c r="B23"/>
  <c r="B18"/>
  <c r="F33"/>
  <c r="F32"/>
  <c r="F25"/>
  <c r="F24"/>
  <c r="F23"/>
  <c r="F18"/>
  <c r="F36" i="5"/>
  <c r="F35"/>
  <c r="F27"/>
  <c r="F26"/>
  <c r="F25"/>
  <c r="F18"/>
  <c r="O133" i="17"/>
  <c r="O132"/>
  <c r="O124"/>
  <c r="O123"/>
  <c r="O121"/>
  <c r="O120"/>
  <c r="O119"/>
  <c r="O116"/>
  <c r="O115"/>
  <c r="O114"/>
  <c r="O113"/>
  <c r="O112"/>
  <c r="O111"/>
  <c r="O109"/>
  <c r="O108"/>
  <c r="O107"/>
  <c r="O101"/>
  <c r="O98"/>
  <c r="O97"/>
  <c r="O96"/>
  <c r="O95"/>
  <c r="O94"/>
  <c r="O93"/>
  <c r="O92"/>
  <c r="O91"/>
  <c r="O90"/>
  <c r="O89"/>
  <c r="O88"/>
  <c r="O86"/>
  <c r="O85"/>
  <c r="O84"/>
  <c r="O83"/>
  <c r="O82"/>
  <c r="O81"/>
  <c r="O79"/>
  <c r="O78"/>
  <c r="O77"/>
  <c r="O76"/>
  <c r="O74"/>
  <c r="O73"/>
  <c r="O72"/>
  <c r="O71"/>
  <c r="O70"/>
  <c r="O69"/>
  <c r="O68"/>
  <c r="O66"/>
  <c r="O65"/>
  <c r="O64"/>
  <c r="O63"/>
  <c r="O61"/>
  <c r="O60"/>
  <c r="O53"/>
  <c r="O52"/>
  <c r="O51"/>
  <c r="O50"/>
  <c r="O49"/>
  <c r="O48"/>
  <c r="O45"/>
  <c r="O44"/>
  <c r="O43"/>
  <c r="O42"/>
  <c r="O41"/>
  <c r="O38"/>
  <c r="O37"/>
  <c r="O36"/>
  <c r="O35"/>
  <c r="O34"/>
  <c r="O33"/>
  <c r="O32"/>
  <c r="O29"/>
  <c r="O28"/>
  <c r="O27"/>
  <c r="O25"/>
  <c r="O24"/>
  <c r="O23"/>
  <c r="O22"/>
  <c r="O21"/>
  <c r="O134" i="16"/>
  <c r="O133"/>
  <c r="O123"/>
  <c r="O91"/>
  <c r="O68"/>
  <c r="O61"/>
  <c r="O52"/>
  <c r="O51"/>
  <c r="O50"/>
  <c r="O49"/>
  <c r="O48"/>
  <c r="O29"/>
  <c r="O28"/>
  <c r="O25"/>
  <c r="O24"/>
  <c r="O23"/>
  <c r="O22"/>
  <c r="O21"/>
  <c r="P104" i="19" l="1"/>
  <c r="P103"/>
  <c r="P102"/>
  <c r="P101"/>
  <c r="P98"/>
  <c r="P97"/>
  <c r="P96"/>
  <c r="P95"/>
  <c r="P94"/>
  <c r="P93"/>
  <c r="P91"/>
  <c r="P90"/>
  <c r="P89"/>
  <c r="P83"/>
  <c r="P80"/>
  <c r="O98" i="16" s="1"/>
  <c r="P79" i="19"/>
  <c r="O97" i="16" s="1"/>
  <c r="P78" i="19"/>
  <c r="O96" i="16" s="1"/>
  <c r="P77" i="19"/>
  <c r="O95" i="16" s="1"/>
  <c r="P76" i="19"/>
  <c r="O94" i="16" s="1"/>
  <c r="P75" i="19"/>
  <c r="O93" i="16" s="1"/>
  <c r="P74" i="19"/>
  <c r="O92" i="16" s="1"/>
  <c r="P72" i="19"/>
  <c r="O90" i="16" s="1"/>
  <c r="P71" i="19"/>
  <c r="O89" i="16" s="1"/>
  <c r="P70" i="19"/>
  <c r="O88" i="16" s="1"/>
  <c r="P68" i="19"/>
  <c r="O86" i="16" s="1"/>
  <c r="P67" i="19"/>
  <c r="O85" i="16" s="1"/>
  <c r="P66" i="19"/>
  <c r="O84" i="16" s="1"/>
  <c r="P65" i="19"/>
  <c r="O83" i="16" s="1"/>
  <c r="P64" i="19"/>
  <c r="O82" i="16" s="1"/>
  <c r="P63" i="19"/>
  <c r="O81" i="16" s="1"/>
  <c r="P61" i="19"/>
  <c r="O79" i="16" s="1"/>
  <c r="P60" i="19"/>
  <c r="O78" i="16" s="1"/>
  <c r="P59" i="19"/>
  <c r="O77" i="16" s="1"/>
  <c r="P58" i="19"/>
  <c r="O76" i="16" s="1"/>
  <c r="P56" i="19"/>
  <c r="O74" i="16" s="1"/>
  <c r="P55" i="19"/>
  <c r="O73" i="16" s="1"/>
  <c r="P54" i="19"/>
  <c r="O72" i="16" s="1"/>
  <c r="P53" i="19"/>
  <c r="O71" i="16" s="1"/>
  <c r="P52" i="19"/>
  <c r="O70" i="16" s="1"/>
  <c r="P51" i="19"/>
  <c r="O69" i="16" s="1"/>
  <c r="P49" i="19"/>
  <c r="O66" i="16" s="1"/>
  <c r="P48" i="19"/>
  <c r="O65" i="16" s="1"/>
  <c r="P47" i="19"/>
  <c r="O64" i="16" s="1"/>
  <c r="P46" i="19"/>
  <c r="O63" i="16" s="1"/>
  <c r="P44" i="19"/>
  <c r="O60" i="16" s="1"/>
  <c r="P37" i="19"/>
  <c r="O53" i="16" s="1"/>
  <c r="P34" i="19"/>
  <c r="O45" i="16" s="1"/>
  <c r="P33" i="19"/>
  <c r="O44" i="16" s="1"/>
  <c r="P32" i="19"/>
  <c r="O43" i="16" s="1"/>
  <c r="P31" i="19"/>
  <c r="O42" i="16" s="1"/>
  <c r="P30" i="19"/>
  <c r="O41" i="16" s="1"/>
  <c r="P27" i="19"/>
  <c r="O38" i="16" s="1"/>
  <c r="P26" i="19"/>
  <c r="O37" i="16" s="1"/>
  <c r="P25" i="19"/>
  <c r="O36" i="16" s="1"/>
  <c r="P24" i="19"/>
  <c r="O35" i="16" s="1"/>
  <c r="P23" i="19"/>
  <c r="O34" i="16" s="1"/>
  <c r="P22" i="19"/>
  <c r="O33" i="16" s="1"/>
  <c r="P21" i="19"/>
  <c r="O32" i="16" s="1"/>
  <c r="P18" i="19"/>
  <c r="O115" i="16" l="1"/>
  <c r="H32" i="2"/>
  <c r="O121" i="16"/>
  <c r="H38" i="2"/>
  <c r="O116" i="16"/>
  <c r="H33" i="2"/>
  <c r="O27" i="16"/>
  <c r="H14" i="2"/>
  <c r="O107" i="16"/>
  <c r="H24" i="2"/>
  <c r="O124" i="16"/>
  <c r="H41" i="2"/>
  <c r="H25"/>
  <c r="O108" i="16"/>
  <c r="O119"/>
  <c r="H36" i="2"/>
  <c r="O109" i="16"/>
  <c r="H26" i="2"/>
  <c r="O101" i="16"/>
  <c r="H19" i="2"/>
  <c r="O120" i="16"/>
  <c r="H37" i="2"/>
  <c r="O113" i="16"/>
  <c r="H30" i="2"/>
  <c r="O112" i="16"/>
  <c r="H29" i="2"/>
  <c r="O114" i="16"/>
  <c r="H31" i="2"/>
  <c r="O111" i="16"/>
  <c r="H28" i="2"/>
  <c r="D50"/>
  <c r="D49"/>
  <c r="D38"/>
  <c r="D37"/>
  <c r="D36"/>
  <c r="D33"/>
  <c r="D32"/>
  <c r="D31"/>
  <c r="D30"/>
  <c r="D29"/>
  <c r="D28"/>
  <c r="D26"/>
  <c r="D25"/>
  <c r="D24"/>
  <c r="D19"/>
  <c r="AG55" i="23"/>
  <c r="AG56"/>
  <c r="P80" i="20" l="1"/>
  <c r="H21" i="3" s="1"/>
  <c r="AF60" i="19"/>
  <c r="AF59"/>
  <c r="AF58"/>
  <c r="N60"/>
  <c r="N59"/>
  <c r="N58"/>
  <c r="L60"/>
  <c r="L59"/>
  <c r="L58"/>
  <c r="H58"/>
  <c r="F60"/>
  <c r="F59"/>
  <c r="F58"/>
  <c r="D60"/>
  <c r="D59"/>
  <c r="D58"/>
  <c r="X40" i="22" l="1"/>
  <c r="V40"/>
  <c r="T40"/>
  <c r="R40"/>
  <c r="P40"/>
  <c r="N40"/>
  <c r="L18" i="2" s="1"/>
  <c r="L40" i="22"/>
  <c r="J40"/>
  <c r="H40"/>
  <c r="F40"/>
  <c r="D40"/>
  <c r="B40"/>
  <c r="AL25" i="23" l="1"/>
  <c r="AJ25"/>
  <c r="N34" i="19"/>
  <c r="N30"/>
  <c r="I12" i="34" l="1"/>
  <c r="K111" i="30"/>
  <c r="R52" i="35" l="1"/>
  <c r="V52" s="1"/>
  <c r="AN52" i="24" l="1"/>
  <c r="M48" i="16"/>
  <c r="N18" i="19"/>
  <c r="O90" i="23" l="1"/>
  <c r="O89"/>
  <c r="O80"/>
  <c r="O74"/>
  <c r="O73"/>
  <c r="O72"/>
  <c r="O71"/>
  <c r="O70"/>
  <c r="O69"/>
  <c r="O67"/>
  <c r="O66"/>
  <c r="O65"/>
  <c r="O59"/>
  <c r="O56"/>
  <c r="O55"/>
  <c r="O54"/>
  <c r="O53"/>
  <c r="O52"/>
  <c r="O50"/>
  <c r="O49"/>
  <c r="O48"/>
  <c r="O47"/>
  <c r="O45"/>
  <c r="O44"/>
  <c r="O43"/>
  <c r="O42"/>
  <c r="O41"/>
  <c r="O39"/>
  <c r="O37"/>
  <c r="O30"/>
  <c r="O27"/>
  <c r="O26"/>
  <c r="O25"/>
  <c r="O22"/>
  <c r="O21"/>
  <c r="O20"/>
  <c r="AJ45" i="26" l="1"/>
  <c r="E26" i="12"/>
  <c r="C26"/>
  <c r="AI38" i="25"/>
  <c r="AC38"/>
  <c r="AA38"/>
  <c r="Y38"/>
  <c r="W38"/>
  <c r="U38"/>
  <c r="S38"/>
  <c r="Q38"/>
  <c r="O38"/>
  <c r="M38"/>
  <c r="K38"/>
  <c r="I38"/>
  <c r="G38"/>
  <c r="E38"/>
  <c r="O27" i="14"/>
  <c r="M27"/>
  <c r="E27"/>
  <c r="C27"/>
  <c r="AK70" i="18"/>
  <c r="AM75" i="21"/>
  <c r="AM72" i="20"/>
  <c r="AM62"/>
  <c r="L20" i="22" l="1"/>
  <c r="A40" i="14"/>
  <c r="A40" i="13"/>
  <c r="A39"/>
  <c r="A39" i="12"/>
  <c r="A42" i="11"/>
  <c r="A41"/>
  <c r="A42" i="10"/>
  <c r="A41"/>
  <c r="A49" i="9"/>
  <c r="A50"/>
  <c r="AF70" i="25" l="1"/>
  <c r="AL70" s="1"/>
  <c r="AF69"/>
  <c r="AF61"/>
  <c r="AF60"/>
  <c r="AF59"/>
  <c r="AF58"/>
  <c r="AF55"/>
  <c r="AF54"/>
  <c r="AF53"/>
  <c r="AF52"/>
  <c r="AF51"/>
  <c r="AF50"/>
  <c r="AF48"/>
  <c r="AF47"/>
  <c r="AF46"/>
  <c r="AF40"/>
  <c r="AF37"/>
  <c r="AF36"/>
  <c r="AF35"/>
  <c r="AF34"/>
  <c r="AF33"/>
  <c r="AF31"/>
  <c r="AF30"/>
  <c r="AF29"/>
  <c r="AF28"/>
  <c r="AF26"/>
  <c r="AF25"/>
  <c r="AF24"/>
  <c r="AF23"/>
  <c r="AF22"/>
  <c r="AF20"/>
  <c r="AF18"/>
  <c r="AF89" i="24"/>
  <c r="AF88"/>
  <c r="AF87"/>
  <c r="AF79"/>
  <c r="AF78"/>
  <c r="AF77"/>
  <c r="AF76"/>
  <c r="AF73"/>
  <c r="AF72"/>
  <c r="AF71"/>
  <c r="AF70"/>
  <c r="AF69"/>
  <c r="AF68"/>
  <c r="AF66"/>
  <c r="AF65"/>
  <c r="AF64"/>
  <c r="AF58"/>
  <c r="AF55"/>
  <c r="AF54"/>
  <c r="AF53"/>
  <c r="AF52"/>
  <c r="AF51"/>
  <c r="AF44"/>
  <c r="AF42"/>
  <c r="AF29"/>
  <c r="AF26"/>
  <c r="AF25"/>
  <c r="AF24"/>
  <c r="AF21"/>
  <c r="AF20"/>
  <c r="AF19"/>
  <c r="AE75" i="21"/>
  <c r="AE74"/>
  <c r="AE73"/>
  <c r="AE72"/>
  <c r="AE69"/>
  <c r="AE68"/>
  <c r="AE67"/>
  <c r="AE66"/>
  <c r="AE65"/>
  <c r="AE64"/>
  <c r="AE62"/>
  <c r="AE61"/>
  <c r="AE60"/>
  <c r="AE54"/>
  <c r="AE51"/>
  <c r="AE50"/>
  <c r="AE49"/>
  <c r="AE48"/>
  <c r="AE47"/>
  <c r="AE46"/>
  <c r="AE45"/>
  <c r="AE44"/>
  <c r="AE43"/>
  <c r="AE42"/>
  <c r="AE41"/>
  <c r="AE39"/>
  <c r="AE38"/>
  <c r="AE37"/>
  <c r="AE36"/>
  <c r="AE35"/>
  <c r="AE34"/>
  <c r="AE32"/>
  <c r="AE31"/>
  <c r="AE30"/>
  <c r="AE29"/>
  <c r="AE28"/>
  <c r="AE27"/>
  <c r="AE26"/>
  <c r="AE24"/>
  <c r="AE23"/>
  <c r="AE22"/>
  <c r="AE21"/>
  <c r="AE19"/>
  <c r="AE103" i="20"/>
  <c r="AE102"/>
  <c r="AE101"/>
  <c r="AE100"/>
  <c r="AE97"/>
  <c r="AE96"/>
  <c r="AE95"/>
  <c r="AE94"/>
  <c r="AE93"/>
  <c r="AE92"/>
  <c r="AE90"/>
  <c r="AE89"/>
  <c r="AE88"/>
  <c r="AE82"/>
  <c r="G25" i="11" s="1"/>
  <c r="AE78" i="20"/>
  <c r="AE77"/>
  <c r="AE75"/>
  <c r="AE74"/>
  <c r="AE72"/>
  <c r="AE71"/>
  <c r="AE70"/>
  <c r="AE69"/>
  <c r="AE65"/>
  <c r="AE63"/>
  <c r="AK63" s="1"/>
  <c r="AM63" s="1"/>
  <c r="AE62"/>
  <c r="AE60"/>
  <c r="AE55"/>
  <c r="AE52"/>
  <c r="AE47"/>
  <c r="AE45"/>
  <c r="AE43"/>
  <c r="AE36"/>
  <c r="AE33"/>
  <c r="AE32"/>
  <c r="AE31"/>
  <c r="AE30"/>
  <c r="AE29"/>
  <c r="AE26"/>
  <c r="AE25"/>
  <c r="AE24"/>
  <c r="AE23"/>
  <c r="AE22"/>
  <c r="AE21"/>
  <c r="AE20"/>
  <c r="AE16"/>
  <c r="M133" i="17"/>
  <c r="M132"/>
  <c r="M124"/>
  <c r="M123"/>
  <c r="M121"/>
  <c r="M120"/>
  <c r="M119"/>
  <c r="M116"/>
  <c r="M115"/>
  <c r="M114"/>
  <c r="M113"/>
  <c r="M112"/>
  <c r="M111"/>
  <c r="M109"/>
  <c r="M108"/>
  <c r="M107"/>
  <c r="M101"/>
  <c r="M98"/>
  <c r="M97"/>
  <c r="M96"/>
  <c r="M95"/>
  <c r="M94"/>
  <c r="M93"/>
  <c r="M92"/>
  <c r="M91"/>
  <c r="M90"/>
  <c r="M89"/>
  <c r="M88"/>
  <c r="M86"/>
  <c r="M85"/>
  <c r="M84"/>
  <c r="M83"/>
  <c r="M82"/>
  <c r="M81"/>
  <c r="M79"/>
  <c r="M78"/>
  <c r="M77"/>
  <c r="M76"/>
  <c r="M74"/>
  <c r="M73"/>
  <c r="M72"/>
  <c r="M71"/>
  <c r="M70"/>
  <c r="M69"/>
  <c r="M68"/>
  <c r="M66"/>
  <c r="M65"/>
  <c r="M64"/>
  <c r="M63"/>
  <c r="M61"/>
  <c r="M60"/>
  <c r="M53"/>
  <c r="M52"/>
  <c r="M51"/>
  <c r="M50"/>
  <c r="M49"/>
  <c r="M48"/>
  <c r="M45"/>
  <c r="M44"/>
  <c r="M43"/>
  <c r="M42"/>
  <c r="M41"/>
  <c r="M38"/>
  <c r="M37"/>
  <c r="M36"/>
  <c r="M35"/>
  <c r="M34"/>
  <c r="M33"/>
  <c r="M32"/>
  <c r="M29"/>
  <c r="M28"/>
  <c r="M27"/>
  <c r="M25"/>
  <c r="M24"/>
  <c r="M23"/>
  <c r="M22"/>
  <c r="M21"/>
  <c r="AG54" i="23"/>
  <c r="AG53"/>
  <c r="AL53" s="1"/>
  <c r="AG52"/>
  <c r="AG50"/>
  <c r="AG49"/>
  <c r="AG48"/>
  <c r="AG47"/>
  <c r="AG45"/>
  <c r="AG44"/>
  <c r="AG43"/>
  <c r="AG42"/>
  <c r="AG41"/>
  <c r="AG39"/>
  <c r="AG37"/>
  <c r="Y46" i="17"/>
  <c r="W46"/>
  <c r="U46"/>
  <c r="S46"/>
  <c r="Q46"/>
  <c r="O46"/>
  <c r="AE28" i="16"/>
  <c r="M28"/>
  <c r="K28"/>
  <c r="I28"/>
  <c r="G28"/>
  <c r="E28"/>
  <c r="C28"/>
  <c r="AE27" i="17"/>
  <c r="AE28"/>
  <c r="K28"/>
  <c r="I28"/>
  <c r="G28"/>
  <c r="E28"/>
  <c r="C28"/>
  <c r="K27"/>
  <c r="I27"/>
  <c r="G27"/>
  <c r="E27"/>
  <c r="C27"/>
  <c r="AA16" i="22"/>
  <c r="N14" i="2" s="1"/>
  <c r="AE123" i="16"/>
  <c r="AE135" i="17"/>
  <c r="AD40" i="22"/>
  <c r="AE73" i="17"/>
  <c r="AE72"/>
  <c r="AE71"/>
  <c r="AE70"/>
  <c r="AE69"/>
  <c r="AE68"/>
  <c r="K73"/>
  <c r="K71"/>
  <c r="K70"/>
  <c r="K68"/>
  <c r="I71"/>
  <c r="I68"/>
  <c r="G72"/>
  <c r="G71"/>
  <c r="G70"/>
  <c r="G69"/>
  <c r="G68"/>
  <c r="E72"/>
  <c r="E71"/>
  <c r="E70"/>
  <c r="E69"/>
  <c r="E68"/>
  <c r="C73"/>
  <c r="C72"/>
  <c r="C71"/>
  <c r="C70"/>
  <c r="C69"/>
  <c r="C68"/>
  <c r="AE68" i="16"/>
  <c r="M68"/>
  <c r="K68"/>
  <c r="I68"/>
  <c r="G68"/>
  <c r="E68"/>
  <c r="C68"/>
  <c r="AI29" i="22"/>
  <c r="AI34"/>
  <c r="AI33"/>
  <c r="AI32"/>
  <c r="AI31"/>
  <c r="AA34"/>
  <c r="AG34" s="1"/>
  <c r="AA33"/>
  <c r="AG33" s="1"/>
  <c r="AA32"/>
  <c r="AG32" s="1"/>
  <c r="AA31"/>
  <c r="AG31" s="1"/>
  <c r="AA30"/>
  <c r="AA29"/>
  <c r="AG29" s="1"/>
  <c r="AE52" i="17"/>
  <c r="AE51"/>
  <c r="D18" i="19"/>
  <c r="C27" i="16" s="1"/>
  <c r="N52" i="21"/>
  <c r="N80" i="20"/>
  <c r="N104" i="19"/>
  <c r="M124" i="16" s="1"/>
  <c r="N103" i="19"/>
  <c r="M121" i="16" s="1"/>
  <c r="N102" i="19"/>
  <c r="M120" i="16" s="1"/>
  <c r="N101" i="19"/>
  <c r="M119" i="16" s="1"/>
  <c r="N98" i="19"/>
  <c r="M116" i="16" s="1"/>
  <c r="N97" i="19"/>
  <c r="M115" i="16" s="1"/>
  <c r="N96" i="19"/>
  <c r="M114" i="16" s="1"/>
  <c r="N95" i="19"/>
  <c r="M113" i="16" s="1"/>
  <c r="N94" i="19"/>
  <c r="M112" i="16" s="1"/>
  <c r="N93" i="19"/>
  <c r="M111" i="16" s="1"/>
  <c r="N91" i="19"/>
  <c r="N90"/>
  <c r="M108" i="16" s="1"/>
  <c r="N89" i="19"/>
  <c r="M107" i="16" s="1"/>
  <c r="N83" i="19"/>
  <c r="N80"/>
  <c r="M98" i="16" s="1"/>
  <c r="N79" i="19"/>
  <c r="M97" i="16" s="1"/>
  <c r="N78" i="19"/>
  <c r="M96" i="16" s="1"/>
  <c r="N77" i="19"/>
  <c r="M95" i="16" s="1"/>
  <c r="N76" i="19"/>
  <c r="M94" i="16" s="1"/>
  <c r="N75" i="19"/>
  <c r="M93" i="16" s="1"/>
  <c r="N74" i="19"/>
  <c r="M92" i="16" s="1"/>
  <c r="N72" i="19"/>
  <c r="M90" i="16" s="1"/>
  <c r="N71" i="19"/>
  <c r="M89" i="16" s="1"/>
  <c r="N70" i="19"/>
  <c r="M88" i="16" s="1"/>
  <c r="N68" i="19"/>
  <c r="M86" i="16" s="1"/>
  <c r="N67" i="19"/>
  <c r="M85" i="16" s="1"/>
  <c r="N66" i="19"/>
  <c r="M84" i="16" s="1"/>
  <c r="N65" i="19"/>
  <c r="M83" i="16" s="1"/>
  <c r="N64" i="19"/>
  <c r="M82" i="16" s="1"/>
  <c r="N63" i="19"/>
  <c r="M81" i="16" s="1"/>
  <c r="N61" i="19"/>
  <c r="M79" i="16" s="1"/>
  <c r="M78"/>
  <c r="M77"/>
  <c r="M76"/>
  <c r="N56" i="19"/>
  <c r="M74" i="16" s="1"/>
  <c r="N55" i="19"/>
  <c r="M73" i="16" s="1"/>
  <c r="N54" i="19"/>
  <c r="M72" i="16" s="1"/>
  <c r="N53" i="19"/>
  <c r="M71" i="16" s="1"/>
  <c r="N52" i="19"/>
  <c r="M70" i="16" s="1"/>
  <c r="N51" i="19"/>
  <c r="M69" i="16" s="1"/>
  <c r="N49" i="19"/>
  <c r="M66" i="16" s="1"/>
  <c r="N48" i="19"/>
  <c r="M65" i="16" s="1"/>
  <c r="N47" i="19"/>
  <c r="M64" i="16" s="1"/>
  <c r="N46" i="19"/>
  <c r="M63" i="16" s="1"/>
  <c r="N44" i="19"/>
  <c r="M60" i="16" s="1"/>
  <c r="N37" i="19"/>
  <c r="M53" i="16" s="1"/>
  <c r="M45"/>
  <c r="N33" i="19"/>
  <c r="M44" i="16" s="1"/>
  <c r="N32" i="19"/>
  <c r="M43" i="16" s="1"/>
  <c r="N31" i="19"/>
  <c r="M42" i="16" s="1"/>
  <c r="M41"/>
  <c r="N27" i="19"/>
  <c r="M38" i="16" s="1"/>
  <c r="N26" i="19"/>
  <c r="M37" i="16" s="1"/>
  <c r="N25" i="19"/>
  <c r="M36" i="16" s="1"/>
  <c r="N24" i="19"/>
  <c r="M35" i="16" s="1"/>
  <c r="N23" i="19"/>
  <c r="M34" i="16" s="1"/>
  <c r="N22" i="19"/>
  <c r="M33" i="16" s="1"/>
  <c r="N21" i="19"/>
  <c r="M32" i="16" s="1"/>
  <c r="M27"/>
  <c r="AE52"/>
  <c r="AE50"/>
  <c r="AE49"/>
  <c r="A6" i="10"/>
  <c r="K52" i="17"/>
  <c r="K51"/>
  <c r="I52"/>
  <c r="I51"/>
  <c r="G52"/>
  <c r="G51"/>
  <c r="E52"/>
  <c r="E51"/>
  <c r="C52"/>
  <c r="C51"/>
  <c r="M52" i="16"/>
  <c r="M50"/>
  <c r="M49"/>
  <c r="K52"/>
  <c r="K50"/>
  <c r="K49"/>
  <c r="I52"/>
  <c r="I50"/>
  <c r="I49"/>
  <c r="G52"/>
  <c r="G50"/>
  <c r="G49"/>
  <c r="E52"/>
  <c r="E50"/>
  <c r="E49"/>
  <c r="C52"/>
  <c r="C50"/>
  <c r="C49"/>
  <c r="AE84" i="21"/>
  <c r="AF80" i="19"/>
  <c r="AF79"/>
  <c r="AF78"/>
  <c r="AF77"/>
  <c r="AF76"/>
  <c r="AF75"/>
  <c r="AF74"/>
  <c r="AF73"/>
  <c r="AK73" s="1"/>
  <c r="AF72"/>
  <c r="AF71"/>
  <c r="AF70"/>
  <c r="AF68"/>
  <c r="AF67"/>
  <c r="AF66"/>
  <c r="AF65"/>
  <c r="AF64"/>
  <c r="AF63"/>
  <c r="AK63" s="1"/>
  <c r="AF61"/>
  <c r="AF56"/>
  <c r="AF55"/>
  <c r="AF54"/>
  <c r="AF53"/>
  <c r="AE71" i="16" s="1"/>
  <c r="AF52" i="19"/>
  <c r="AE70" i="16" s="1"/>
  <c r="AF51" i="19"/>
  <c r="AF49"/>
  <c r="AF48"/>
  <c r="AF47"/>
  <c r="AF46"/>
  <c r="AF44"/>
  <c r="AH27" i="20"/>
  <c r="AG9" i="21"/>
  <c r="AG9" i="20"/>
  <c r="AF24" i="18"/>
  <c r="AN70" i="25"/>
  <c r="M134" i="16"/>
  <c r="M133"/>
  <c r="M123"/>
  <c r="M91"/>
  <c r="M61"/>
  <c r="M51"/>
  <c r="M29"/>
  <c r="M25"/>
  <c r="M24"/>
  <c r="M23"/>
  <c r="M22"/>
  <c r="M21"/>
  <c r="AN18" i="25"/>
  <c r="AM19" i="21"/>
  <c r="AG57" i="23" l="1"/>
  <c r="AE69" i="16"/>
  <c r="AE72"/>
  <c r="M101"/>
  <c r="AG16" i="22"/>
  <c r="AI16" s="1"/>
  <c r="M26" i="17"/>
  <c r="M30" s="1"/>
  <c r="M39"/>
  <c r="M117"/>
  <c r="M126" s="1"/>
  <c r="M46"/>
  <c r="AF38" i="25"/>
  <c r="M135" i="17"/>
  <c r="M99"/>
  <c r="M54"/>
  <c r="G20" i="12"/>
  <c r="AE73" i="16"/>
  <c r="M109"/>
  <c r="AG30" i="22"/>
  <c r="AI30" s="1"/>
  <c r="AC72" i="25"/>
  <c r="AC56"/>
  <c r="AC63" s="1"/>
  <c r="AC42"/>
  <c r="AE112" i="20"/>
  <c r="G34" i="11" s="1"/>
  <c r="AE83" i="21"/>
  <c r="AC91" i="24"/>
  <c r="AC74"/>
  <c r="AC81" s="1"/>
  <c r="AC56"/>
  <c r="AC30"/>
  <c r="AC27"/>
  <c r="AC22"/>
  <c r="AE111" i="20"/>
  <c r="G26" i="11" s="1"/>
  <c r="AB114" i="20"/>
  <c r="AB98"/>
  <c r="AB105" s="1"/>
  <c r="AB80"/>
  <c r="AB37"/>
  <c r="AB34"/>
  <c r="AB27"/>
  <c r="AB86" i="21"/>
  <c r="AB70"/>
  <c r="AB77" s="1"/>
  <c r="AB52"/>
  <c r="AB56" s="1"/>
  <c r="AF28" i="18"/>
  <c r="AA17" i="3" s="1"/>
  <c r="AM50" i="21"/>
  <c r="AM48"/>
  <c r="AM47"/>
  <c r="AM43"/>
  <c r="AM44"/>
  <c r="AM45"/>
  <c r="AM42"/>
  <c r="AM35"/>
  <c r="AM36"/>
  <c r="AM37"/>
  <c r="AM38"/>
  <c r="AM39"/>
  <c r="AM34"/>
  <c r="AM23"/>
  <c r="AM24"/>
  <c r="AM26"/>
  <c r="AM27"/>
  <c r="AM28"/>
  <c r="AM29"/>
  <c r="AM30"/>
  <c r="AM22"/>
  <c r="AK31"/>
  <c r="AM31" s="1"/>
  <c r="L44" i="19"/>
  <c r="L76"/>
  <c r="J76"/>
  <c r="M56" i="17" l="1"/>
  <c r="M103" s="1"/>
  <c r="M129" s="1"/>
  <c r="M139" s="1"/>
  <c r="J51" i="3"/>
  <c r="AC32" i="24"/>
  <c r="AC60" s="1"/>
  <c r="AC84" s="1"/>
  <c r="AC96" s="1"/>
  <c r="AB80" i="21"/>
  <c r="AB90" s="1"/>
  <c r="AB39" i="20"/>
  <c r="AB84" s="1"/>
  <c r="AB108" s="1"/>
  <c r="AB118" s="1"/>
  <c r="AC66" i="25"/>
  <c r="AC76" s="1"/>
  <c r="P54" i="4"/>
  <c r="N54"/>
  <c r="K134" i="16" l="1"/>
  <c r="K133"/>
  <c r="K123"/>
  <c r="K91"/>
  <c r="K60"/>
  <c r="K29"/>
  <c r="K25"/>
  <c r="K24"/>
  <c r="K23"/>
  <c r="K22"/>
  <c r="K21"/>
  <c r="K133" i="17"/>
  <c r="K132"/>
  <c r="K124"/>
  <c r="K123"/>
  <c r="K121"/>
  <c r="K120"/>
  <c r="K119"/>
  <c r="K116"/>
  <c r="K115"/>
  <c r="K114"/>
  <c r="K113"/>
  <c r="K112"/>
  <c r="K111"/>
  <c r="K109"/>
  <c r="K108"/>
  <c r="K107"/>
  <c r="K101"/>
  <c r="K97"/>
  <c r="K96"/>
  <c r="K95"/>
  <c r="K94"/>
  <c r="K93"/>
  <c r="K92"/>
  <c r="K91"/>
  <c r="K90"/>
  <c r="K89"/>
  <c r="K88"/>
  <c r="K86"/>
  <c r="K85"/>
  <c r="K84"/>
  <c r="K83"/>
  <c r="K82"/>
  <c r="K81"/>
  <c r="K79"/>
  <c r="K78"/>
  <c r="K77"/>
  <c r="K76"/>
  <c r="K74"/>
  <c r="K65"/>
  <c r="K63"/>
  <c r="K61"/>
  <c r="K60"/>
  <c r="K53"/>
  <c r="K50"/>
  <c r="K49"/>
  <c r="K48"/>
  <c r="K45"/>
  <c r="K44"/>
  <c r="K43"/>
  <c r="K42"/>
  <c r="K41"/>
  <c r="K38"/>
  <c r="K37"/>
  <c r="K36"/>
  <c r="K35"/>
  <c r="K34"/>
  <c r="K33"/>
  <c r="K32"/>
  <c r="K29"/>
  <c r="K25"/>
  <c r="K24"/>
  <c r="K23"/>
  <c r="K22"/>
  <c r="K21"/>
  <c r="A6" i="13"/>
  <c r="O255" i="43"/>
  <c r="M255"/>
  <c r="K255"/>
  <c r="I255"/>
  <c r="G255"/>
  <c r="O207"/>
  <c r="K207"/>
  <c r="I207"/>
  <c r="G207"/>
  <c r="M206"/>
  <c r="M207" s="1"/>
  <c r="O203"/>
  <c r="K203"/>
  <c r="I203"/>
  <c r="G203"/>
  <c r="M202"/>
  <c r="M201"/>
  <c r="O198"/>
  <c r="M198"/>
  <c r="K198"/>
  <c r="I198"/>
  <c r="G198"/>
  <c r="O185"/>
  <c r="M185"/>
  <c r="K185"/>
  <c r="I185"/>
  <c r="G185"/>
  <c r="O97"/>
  <c r="M97"/>
  <c r="K97"/>
  <c r="I97"/>
  <c r="G97"/>
  <c r="O11"/>
  <c r="K11"/>
  <c r="I11"/>
  <c r="G11"/>
  <c r="M10"/>
  <c r="M11" s="1"/>
  <c r="AA28" i="42"/>
  <c r="D44" i="41"/>
  <c r="D37"/>
  <c r="K30"/>
  <c r="K29"/>
  <c r="D23"/>
  <c r="K21"/>
  <c r="D17"/>
  <c r="K13"/>
  <c r="C47" i="40"/>
  <c r="J46"/>
  <c r="J45"/>
  <c r="J44"/>
  <c r="J42"/>
  <c r="J41"/>
  <c r="C38"/>
  <c r="J37"/>
  <c r="J35"/>
  <c r="J34"/>
  <c r="C28"/>
  <c r="J27"/>
  <c r="J26"/>
  <c r="J25"/>
  <c r="C22"/>
  <c r="J21"/>
  <c r="J20"/>
  <c r="J19"/>
  <c r="J18"/>
  <c r="J17"/>
  <c r="J16"/>
  <c r="J15"/>
  <c r="J12"/>
  <c r="J28" i="5"/>
  <c r="J19"/>
  <c r="H14"/>
  <c r="P14" s="1"/>
  <c r="L14"/>
  <c r="F15"/>
  <c r="H15"/>
  <c r="J15"/>
  <c r="L15"/>
  <c r="J20"/>
  <c r="F21"/>
  <c r="N21"/>
  <c r="P21"/>
  <c r="N29"/>
  <c r="P29"/>
  <c r="N37"/>
  <c r="P37"/>
  <c r="P44"/>
  <c r="AA36" i="3"/>
  <c r="P38" i="2"/>
  <c r="P37"/>
  <c r="P36"/>
  <c r="AG90" i="23"/>
  <c r="AG89"/>
  <c r="AG59"/>
  <c r="AG30"/>
  <c r="AG27"/>
  <c r="AG26"/>
  <c r="AG22"/>
  <c r="AG21"/>
  <c r="AG20"/>
  <c r="C30" i="40" l="1"/>
  <c r="C50" s="1"/>
  <c r="C52" s="1"/>
  <c r="E12" s="1"/>
  <c r="E52" s="1"/>
  <c r="G12" s="1"/>
  <c r="J22"/>
  <c r="D25" i="41"/>
  <c r="D47" s="1"/>
  <c r="D49" s="1"/>
  <c r="F13" s="1"/>
  <c r="F49" s="1"/>
  <c r="H13" s="1"/>
  <c r="M203" i="43"/>
  <c r="M258" s="1"/>
  <c r="K258"/>
  <c r="K37" i="41"/>
  <c r="K44"/>
  <c r="J38" i="40"/>
  <c r="K23" i="41"/>
  <c r="K25" s="1"/>
  <c r="J28" i="40"/>
  <c r="J47"/>
  <c r="I258" i="43"/>
  <c r="G258"/>
  <c r="O258"/>
  <c r="K46" i="17"/>
  <c r="P32" i="5"/>
  <c r="P42" s="1"/>
  <c r="P45" s="1"/>
  <c r="K136" i="16"/>
  <c r="J27" i="5"/>
  <c r="F37"/>
  <c r="K26" i="16"/>
  <c r="K26" i="17"/>
  <c r="K30" s="1"/>
  <c r="K135"/>
  <c r="K117"/>
  <c r="K126" s="1"/>
  <c r="K39"/>
  <c r="N32" i="5"/>
  <c r="N42" s="1"/>
  <c r="N45" s="1"/>
  <c r="J26"/>
  <c r="F29"/>
  <c r="F32" s="1"/>
  <c r="J36"/>
  <c r="B37"/>
  <c r="J35"/>
  <c r="B29"/>
  <c r="J25"/>
  <c r="J18"/>
  <c r="J21" s="1"/>
  <c r="B21"/>
  <c r="E90" i="23"/>
  <c r="E89"/>
  <c r="E30"/>
  <c r="G30"/>
  <c r="I30"/>
  <c r="K30"/>
  <c r="E27"/>
  <c r="E26"/>
  <c r="E25"/>
  <c r="G27"/>
  <c r="G26"/>
  <c r="G25"/>
  <c r="I27"/>
  <c r="I26"/>
  <c r="I25"/>
  <c r="K27"/>
  <c r="K26"/>
  <c r="K25"/>
  <c r="E22"/>
  <c r="E21"/>
  <c r="E20"/>
  <c r="G22"/>
  <c r="G21"/>
  <c r="G20"/>
  <c r="I22"/>
  <c r="I21"/>
  <c r="I20"/>
  <c r="K22"/>
  <c r="K21"/>
  <c r="K20"/>
  <c r="M41"/>
  <c r="M39"/>
  <c r="M37"/>
  <c r="K61" i="16" s="1"/>
  <c r="M30" i="23"/>
  <c r="M27"/>
  <c r="M26"/>
  <c r="M25"/>
  <c r="M22"/>
  <c r="M21"/>
  <c r="K36" i="24"/>
  <c r="AF36" s="1"/>
  <c r="M59" i="23"/>
  <c r="M20"/>
  <c r="M41" i="24"/>
  <c r="M88" i="23"/>
  <c r="M80"/>
  <c r="M74"/>
  <c r="M73"/>
  <c r="M72"/>
  <c r="M71"/>
  <c r="M70"/>
  <c r="M69"/>
  <c r="M67"/>
  <c r="M66"/>
  <c r="M65"/>
  <c r="M56"/>
  <c r="M55"/>
  <c r="M54"/>
  <c r="K94" i="16" s="1"/>
  <c r="M53" i="23"/>
  <c r="M52"/>
  <c r="M50"/>
  <c r="M49"/>
  <c r="M48"/>
  <c r="M47"/>
  <c r="M45"/>
  <c r="M44"/>
  <c r="M43"/>
  <c r="M42"/>
  <c r="L86" i="21"/>
  <c r="L70"/>
  <c r="L77" s="1"/>
  <c r="L52"/>
  <c r="L56" s="1"/>
  <c r="L79" i="20"/>
  <c r="K98" i="17" s="1"/>
  <c r="L74" i="19"/>
  <c r="K92" i="16" s="1"/>
  <c r="K77"/>
  <c r="L53" i="20"/>
  <c r="K72" i="17" s="1"/>
  <c r="L50" i="20"/>
  <c r="K69" i="17" s="1"/>
  <c r="L48" i="20"/>
  <c r="K66" i="17" s="1"/>
  <c r="L46" i="20"/>
  <c r="K64" i="17" s="1"/>
  <c r="L115" i="19"/>
  <c r="L104"/>
  <c r="L103"/>
  <c r="L102"/>
  <c r="L101"/>
  <c r="L98"/>
  <c r="L97"/>
  <c r="L96"/>
  <c r="L95"/>
  <c r="L94"/>
  <c r="L93"/>
  <c r="L91"/>
  <c r="L90"/>
  <c r="L89"/>
  <c r="L83"/>
  <c r="L79"/>
  <c r="L78"/>
  <c r="L77"/>
  <c r="K95" i="16" s="1"/>
  <c r="L75" i="19"/>
  <c r="K93" i="16" s="1"/>
  <c r="L72" i="19"/>
  <c r="L71"/>
  <c r="K89" i="16" s="1"/>
  <c r="L70" i="19"/>
  <c r="L68"/>
  <c r="L67"/>
  <c r="L66"/>
  <c r="L65"/>
  <c r="K83" i="16" s="1"/>
  <c r="L64" i="19"/>
  <c r="K82" i="16" s="1"/>
  <c r="L63" i="19"/>
  <c r="L61"/>
  <c r="K78" i="16"/>
  <c r="K76"/>
  <c r="L56" i="19"/>
  <c r="L55"/>
  <c r="K73" i="16" s="1"/>
  <c r="L53" i="19"/>
  <c r="K71" i="16" s="1"/>
  <c r="L52" i="19"/>
  <c r="K70" i="16" s="1"/>
  <c r="L48" i="19"/>
  <c r="K65" i="16" s="1"/>
  <c r="L47" i="19"/>
  <c r="K64" i="16" s="1"/>
  <c r="L46" i="19"/>
  <c r="L37"/>
  <c r="K53" i="16" s="1"/>
  <c r="K54" i="17"/>
  <c r="L34" i="19"/>
  <c r="L33"/>
  <c r="K44" i="16" s="1"/>
  <c r="L32" i="19"/>
  <c r="K43" i="16" s="1"/>
  <c r="L31" i="19"/>
  <c r="L30"/>
  <c r="L27"/>
  <c r="K38" i="16" s="1"/>
  <c r="L26" i="19"/>
  <c r="L25"/>
  <c r="K36" i="16" s="1"/>
  <c r="L24" i="19"/>
  <c r="L23"/>
  <c r="K34" i="16" s="1"/>
  <c r="L22" i="19"/>
  <c r="L21"/>
  <c r="K32" i="16" s="1"/>
  <c r="L18" i="19"/>
  <c r="K41" i="16" l="1"/>
  <c r="K47" i="41"/>
  <c r="J30" i="40"/>
  <c r="J50" s="1"/>
  <c r="J52" s="1"/>
  <c r="K63" i="16"/>
  <c r="K42"/>
  <c r="K90"/>
  <c r="K35"/>
  <c r="K45"/>
  <c r="G52" i="40"/>
  <c r="K49" i="41"/>
  <c r="H49"/>
  <c r="J37" i="5"/>
  <c r="F42"/>
  <c r="K27" i="16"/>
  <c r="K30" s="1"/>
  <c r="L49" i="19"/>
  <c r="K66" i="16" s="1"/>
  <c r="L51" i="19"/>
  <c r="K69" i="16" s="1"/>
  <c r="L80" i="19"/>
  <c r="K98" i="16" s="1"/>
  <c r="L54" i="19"/>
  <c r="K72" i="16" s="1"/>
  <c r="K99" i="17"/>
  <c r="K81" i="16"/>
  <c r="K88"/>
  <c r="K56" i="17"/>
  <c r="K84" i="16"/>
  <c r="K97"/>
  <c r="K86"/>
  <c r="M23" i="23"/>
  <c r="K74" i="16"/>
  <c r="K85"/>
  <c r="M31" i="23"/>
  <c r="K51" i="16"/>
  <c r="K54" s="1"/>
  <c r="K33"/>
  <c r="K37"/>
  <c r="K79"/>
  <c r="K96"/>
  <c r="K120"/>
  <c r="L38" i="19"/>
  <c r="K108" i="16"/>
  <c r="K113"/>
  <c r="K119"/>
  <c r="K109"/>
  <c r="K114"/>
  <c r="K107"/>
  <c r="K112"/>
  <c r="K116"/>
  <c r="K124"/>
  <c r="K101"/>
  <c r="K111"/>
  <c r="K115"/>
  <c r="K121"/>
  <c r="J29" i="5"/>
  <c r="J32" s="1"/>
  <c r="B32"/>
  <c r="B42" s="1"/>
  <c r="M92" i="23"/>
  <c r="M28"/>
  <c r="M75"/>
  <c r="M82" s="1"/>
  <c r="M57"/>
  <c r="L80" i="21"/>
  <c r="L90" s="1"/>
  <c r="L99" i="19"/>
  <c r="L106" s="1"/>
  <c r="L35"/>
  <c r="L28"/>
  <c r="K46" i="16" l="1"/>
  <c r="J42" i="5"/>
  <c r="L81" i="19"/>
  <c r="K103" i="17"/>
  <c r="K129" s="1"/>
  <c r="K139" s="1"/>
  <c r="K99" i="16"/>
  <c r="K39"/>
  <c r="M33" i="23"/>
  <c r="M61" s="1"/>
  <c r="M85" s="1"/>
  <c r="M97" s="1"/>
  <c r="L40" i="19"/>
  <c r="K117" i="16"/>
  <c r="K126" s="1"/>
  <c r="K56" l="1"/>
  <c r="K103" s="1"/>
  <c r="K129" s="1"/>
  <c r="K140" s="1"/>
  <c r="L85" i="19"/>
  <c r="L109" s="1"/>
  <c r="L119" s="1"/>
  <c r="AF113" l="1"/>
  <c r="AD50" i="2" s="1"/>
  <c r="AE134" i="16" s="1"/>
  <c r="AF112" i="19"/>
  <c r="AN87" i="24"/>
  <c r="AN70"/>
  <c r="AN68"/>
  <c r="AG31" i="23"/>
  <c r="AA57"/>
  <c r="Y57"/>
  <c r="W57"/>
  <c r="U57"/>
  <c r="S57"/>
  <c r="Q57"/>
  <c r="P18" i="2" s="1"/>
  <c r="O57" i="23"/>
  <c r="Z37" i="20"/>
  <c r="X37"/>
  <c r="V37"/>
  <c r="T37"/>
  <c r="R37"/>
  <c r="P37"/>
  <c r="H20" i="3" s="1"/>
  <c r="N37" i="20"/>
  <c r="L37"/>
  <c r="J37"/>
  <c r="H37"/>
  <c r="F37"/>
  <c r="D37"/>
  <c r="Z34"/>
  <c r="X34"/>
  <c r="V34"/>
  <c r="T34"/>
  <c r="R34"/>
  <c r="P34"/>
  <c r="H19" i="3" s="1"/>
  <c r="N34" i="20"/>
  <c r="L34"/>
  <c r="J34"/>
  <c r="H34"/>
  <c r="F34"/>
  <c r="D34"/>
  <c r="Z27"/>
  <c r="Z39" s="1"/>
  <c r="X27"/>
  <c r="X39" s="1"/>
  <c r="V27"/>
  <c r="V39" s="1"/>
  <c r="T27"/>
  <c r="T39" s="1"/>
  <c r="R27"/>
  <c r="R39" s="1"/>
  <c r="P27"/>
  <c r="H18" i="3" s="1"/>
  <c r="N27" i="20"/>
  <c r="L27"/>
  <c r="J27"/>
  <c r="J39" s="1"/>
  <c r="H27"/>
  <c r="H39" s="1"/>
  <c r="F27"/>
  <c r="F39" s="1"/>
  <c r="D27"/>
  <c r="D39" s="1"/>
  <c r="AH34"/>
  <c r="AH37"/>
  <c r="AK124" i="18"/>
  <c r="AK51"/>
  <c r="AK49"/>
  <c r="AK43"/>
  <c r="AK36"/>
  <c r="AK35"/>
  <c r="AK31"/>
  <c r="C51" i="16"/>
  <c r="E51"/>
  <c r="G51"/>
  <c r="C29"/>
  <c r="E29"/>
  <c r="G29"/>
  <c r="C25"/>
  <c r="C24"/>
  <c r="C23"/>
  <c r="C22"/>
  <c r="C21"/>
  <c r="E25"/>
  <c r="E24"/>
  <c r="E23"/>
  <c r="E22"/>
  <c r="E21"/>
  <c r="G25"/>
  <c r="G24"/>
  <c r="G23"/>
  <c r="G22"/>
  <c r="G21"/>
  <c r="AJ132"/>
  <c r="P39" i="20" l="1"/>
  <c r="N39"/>
  <c r="L39"/>
  <c r="AH39"/>
  <c r="G39" i="13"/>
  <c r="G38" i="12"/>
  <c r="G41" i="10"/>
  <c r="E48" i="8"/>
  <c r="C48"/>
  <c r="C49" i="7"/>
  <c r="E49"/>
  <c r="P41" i="6" l="1"/>
  <c r="P25"/>
  <c r="P24"/>
  <c r="P23"/>
  <c r="P18"/>
  <c r="S63" i="34"/>
  <c r="Q63"/>
  <c r="K63"/>
  <c r="I63"/>
  <c r="G63"/>
  <c r="E63"/>
  <c r="C63"/>
  <c r="M61"/>
  <c r="M60"/>
  <c r="M57"/>
  <c r="M56"/>
  <c r="M53"/>
  <c r="M52"/>
  <c r="M51"/>
  <c r="M50"/>
  <c r="M49"/>
  <c r="M48"/>
  <c r="M45"/>
  <c r="M43"/>
  <c r="M41"/>
  <c r="M39"/>
  <c r="M38"/>
  <c r="M35"/>
  <c r="M34"/>
  <c r="M31"/>
  <c r="M30"/>
  <c r="M29"/>
  <c r="M26"/>
  <c r="M23"/>
  <c r="M22"/>
  <c r="M21"/>
  <c r="M20"/>
  <c r="M19"/>
  <c r="M16"/>
  <c r="Q12"/>
  <c r="K12"/>
  <c r="S12" s="1"/>
  <c r="K11"/>
  <c r="S11" s="1"/>
  <c r="T61" i="35"/>
  <c r="P61"/>
  <c r="N61"/>
  <c r="L61"/>
  <c r="J61"/>
  <c r="H61"/>
  <c r="F61"/>
  <c r="D61"/>
  <c r="R59"/>
  <c r="V59" s="1"/>
  <c r="R58"/>
  <c r="V58" s="1"/>
  <c r="R57"/>
  <c r="V57" s="1"/>
  <c r="R55"/>
  <c r="V55" s="1"/>
  <c r="R54"/>
  <c r="V54" s="1"/>
  <c r="R53"/>
  <c r="V53" s="1"/>
  <c r="R51"/>
  <c r="V51" s="1"/>
  <c r="R50"/>
  <c r="V50" s="1"/>
  <c r="R49"/>
  <c r="V49" s="1"/>
  <c r="R48"/>
  <c r="V48" s="1"/>
  <c r="R47"/>
  <c r="V47" s="1"/>
  <c r="R46"/>
  <c r="V46" s="1"/>
  <c r="R45"/>
  <c r="V45" s="1"/>
  <c r="R43"/>
  <c r="V43" s="1"/>
  <c r="R42"/>
  <c r="V42" s="1"/>
  <c r="R41"/>
  <c r="V41" s="1"/>
  <c r="R39"/>
  <c r="V39" s="1"/>
  <c r="R37"/>
  <c r="V37" s="1"/>
  <c r="R36"/>
  <c r="V36" s="1"/>
  <c r="R35"/>
  <c r="V35" s="1"/>
  <c r="R34"/>
  <c r="V34" s="1"/>
  <c r="R33"/>
  <c r="V33" s="1"/>
  <c r="R32"/>
  <c r="V32" s="1"/>
  <c r="R31"/>
  <c r="V31" s="1"/>
  <c r="R30"/>
  <c r="V30" s="1"/>
  <c r="R29"/>
  <c r="V29" s="1"/>
  <c r="R28"/>
  <c r="V28" s="1"/>
  <c r="R27"/>
  <c r="V27" s="1"/>
  <c r="R26"/>
  <c r="V26" s="1"/>
  <c r="R25"/>
  <c r="V25" s="1"/>
  <c r="R24"/>
  <c r="V24" s="1"/>
  <c r="R23"/>
  <c r="V23" s="1"/>
  <c r="R22"/>
  <c r="V22" s="1"/>
  <c r="R21"/>
  <c r="V21" s="1"/>
  <c r="R20"/>
  <c r="V20" s="1"/>
  <c r="R19"/>
  <c r="V19" s="1"/>
  <c r="R18"/>
  <c r="V18" s="1"/>
  <c r="R16"/>
  <c r="I28" i="36"/>
  <c r="G28"/>
  <c r="X42" i="37"/>
  <c r="V42"/>
  <c r="T42"/>
  <c r="R42"/>
  <c r="P42"/>
  <c r="N42"/>
  <c r="L42"/>
  <c r="J42"/>
  <c r="H42"/>
  <c r="F42"/>
  <c r="D42"/>
  <c r="B42"/>
  <c r="Z41"/>
  <c r="Z40"/>
  <c r="Z39"/>
  <c r="Z37"/>
  <c r="Z36"/>
  <c r="Z35"/>
  <c r="X32"/>
  <c r="X44" s="1"/>
  <c r="V32"/>
  <c r="T32"/>
  <c r="R32"/>
  <c r="P32"/>
  <c r="P44" s="1"/>
  <c r="N32"/>
  <c r="L32"/>
  <c r="J32"/>
  <c r="H32"/>
  <c r="H44" s="1"/>
  <c r="F32"/>
  <c r="D32"/>
  <c r="B32"/>
  <c r="Z31"/>
  <c r="Z30"/>
  <c r="Z29"/>
  <c r="Z28"/>
  <c r="Z27"/>
  <c r="X24"/>
  <c r="V24"/>
  <c r="T24"/>
  <c r="R24"/>
  <c r="P24"/>
  <c r="N24"/>
  <c r="L24"/>
  <c r="J24"/>
  <c r="H24"/>
  <c r="F24"/>
  <c r="D24"/>
  <c r="B24"/>
  <c r="Z23"/>
  <c r="Z22"/>
  <c r="Z21"/>
  <c r="Z20"/>
  <c r="Z19"/>
  <c r="Z18"/>
  <c r="Z17"/>
  <c r="Z16"/>
  <c r="Z15"/>
  <c r="Z12"/>
  <c r="Y40" i="42"/>
  <c r="W40"/>
  <c r="U40"/>
  <c r="S40"/>
  <c r="Q40"/>
  <c r="O40"/>
  <c r="M40"/>
  <c r="K40"/>
  <c r="I40"/>
  <c r="G40"/>
  <c r="E40"/>
  <c r="C40"/>
  <c r="AA39"/>
  <c r="AA38"/>
  <c r="AA37"/>
  <c r="AA36"/>
  <c r="AA35"/>
  <c r="Y30"/>
  <c r="W30"/>
  <c r="U30"/>
  <c r="S30"/>
  <c r="S43" s="1"/>
  <c r="Q30"/>
  <c r="O30"/>
  <c r="M30"/>
  <c r="K30"/>
  <c r="I30"/>
  <c r="G30"/>
  <c r="E30"/>
  <c r="C30"/>
  <c r="C43" s="1"/>
  <c r="AA29"/>
  <c r="AA27"/>
  <c r="AA26"/>
  <c r="AA25"/>
  <c r="AA24"/>
  <c r="AA23"/>
  <c r="AA22"/>
  <c r="AA21"/>
  <c r="AA20"/>
  <c r="AA19"/>
  <c r="AA17"/>
  <c r="AA16"/>
  <c r="AA15"/>
  <c r="AA14"/>
  <c r="E43" l="1"/>
  <c r="M43"/>
  <c r="U43"/>
  <c r="G43"/>
  <c r="O43"/>
  <c r="W43"/>
  <c r="F44" i="37"/>
  <c r="N44"/>
  <c r="V44"/>
  <c r="V46" s="1"/>
  <c r="M63" i="34"/>
  <c r="B44" i="37"/>
  <c r="B46" s="1"/>
  <c r="D12" s="1"/>
  <c r="R44"/>
  <c r="R46" s="1"/>
  <c r="Q43" i="42"/>
  <c r="Y43"/>
  <c r="D44" i="37"/>
  <c r="T44"/>
  <c r="T46" s="1"/>
  <c r="Z32"/>
  <c r="L44"/>
  <c r="K43" i="42"/>
  <c r="AA30"/>
  <c r="I43"/>
  <c r="AA40"/>
  <c r="M12" i="34"/>
  <c r="Z24" i="37"/>
  <c r="J44"/>
  <c r="Z42"/>
  <c r="R61" i="35"/>
  <c r="V16"/>
  <c r="V61" s="1"/>
  <c r="P46" i="37"/>
  <c r="X46"/>
  <c r="D46"/>
  <c r="F12" s="1"/>
  <c r="F46" s="1"/>
  <c r="H12" s="1"/>
  <c r="H46" s="1"/>
  <c r="J12" s="1"/>
  <c r="J46" l="1"/>
  <c r="L12" s="1"/>
  <c r="L46" s="1"/>
  <c r="N12" s="1"/>
  <c r="N46" s="1"/>
  <c r="Z44"/>
  <c r="Z46" s="1"/>
  <c r="AA43" i="42"/>
  <c r="C32" i="13"/>
  <c r="C31"/>
  <c r="C30"/>
  <c r="E32"/>
  <c r="E31"/>
  <c r="E30"/>
  <c r="C25"/>
  <c r="C24"/>
  <c r="C23"/>
  <c r="C22"/>
  <c r="C21"/>
  <c r="C20"/>
  <c r="E26"/>
  <c r="E25"/>
  <c r="E24"/>
  <c r="E23"/>
  <c r="E22"/>
  <c r="E21"/>
  <c r="E20"/>
  <c r="E27" l="1"/>
  <c r="E34" i="10"/>
  <c r="E33"/>
  <c r="E32"/>
  <c r="E31"/>
  <c r="E30"/>
  <c r="C34"/>
  <c r="C32"/>
  <c r="C31"/>
  <c r="C30"/>
  <c r="E26"/>
  <c r="E25"/>
  <c r="E24"/>
  <c r="E23"/>
  <c r="E22"/>
  <c r="E21"/>
  <c r="E20"/>
  <c r="C26"/>
  <c r="C25"/>
  <c r="C24"/>
  <c r="C23"/>
  <c r="C22"/>
  <c r="C21"/>
  <c r="C20"/>
  <c r="C20" i="7" s="1"/>
  <c r="C27" i="10" l="1"/>
  <c r="E27"/>
  <c r="C61" i="17"/>
  <c r="I91" i="16"/>
  <c r="G91"/>
  <c r="E91"/>
  <c r="C91"/>
  <c r="AE98" i="17"/>
  <c r="AE97"/>
  <c r="AE96"/>
  <c r="AE95"/>
  <c r="AE94"/>
  <c r="AE93"/>
  <c r="AE92"/>
  <c r="AE91"/>
  <c r="AE90"/>
  <c r="AE89"/>
  <c r="AE88"/>
  <c r="AE86"/>
  <c r="AE85"/>
  <c r="AE84"/>
  <c r="AE83"/>
  <c r="AE82"/>
  <c r="AE81"/>
  <c r="AE79"/>
  <c r="AE78"/>
  <c r="AE77"/>
  <c r="AE76"/>
  <c r="AE74"/>
  <c r="AE66"/>
  <c r="AE65"/>
  <c r="AE64"/>
  <c r="AE63"/>
  <c r="AE61"/>
  <c r="I97"/>
  <c r="I94"/>
  <c r="I91"/>
  <c r="I90"/>
  <c r="I89"/>
  <c r="I88"/>
  <c r="I85"/>
  <c r="I84"/>
  <c r="I83"/>
  <c r="I82"/>
  <c r="I81"/>
  <c r="I79"/>
  <c r="I74"/>
  <c r="I65"/>
  <c r="I63"/>
  <c r="I61"/>
  <c r="G97"/>
  <c r="G91"/>
  <c r="G90"/>
  <c r="G89"/>
  <c r="G88"/>
  <c r="G84"/>
  <c r="G82"/>
  <c r="G81"/>
  <c r="G79"/>
  <c r="G76"/>
  <c r="G74"/>
  <c r="G65"/>
  <c r="G61"/>
  <c r="E98"/>
  <c r="E97"/>
  <c r="E96"/>
  <c r="E95"/>
  <c r="E94"/>
  <c r="E93"/>
  <c r="E92"/>
  <c r="E91"/>
  <c r="E90"/>
  <c r="E89"/>
  <c r="E88"/>
  <c r="E86"/>
  <c r="E85"/>
  <c r="E84"/>
  <c r="E83"/>
  <c r="E82"/>
  <c r="E81"/>
  <c r="E79"/>
  <c r="E78"/>
  <c r="E77"/>
  <c r="E76"/>
  <c r="E74"/>
  <c r="E66"/>
  <c r="E65"/>
  <c r="E64"/>
  <c r="E63"/>
  <c r="E61"/>
  <c r="C98"/>
  <c r="C96"/>
  <c r="C95"/>
  <c r="C94"/>
  <c r="C93"/>
  <c r="C91"/>
  <c r="C90"/>
  <c r="C89"/>
  <c r="C83"/>
  <c r="C82"/>
  <c r="C81"/>
  <c r="C78"/>
  <c r="C77"/>
  <c r="C76"/>
  <c r="C74"/>
  <c r="C64"/>
  <c r="C63"/>
  <c r="C92"/>
  <c r="AE33"/>
  <c r="AE37"/>
  <c r="AJ37" s="1"/>
  <c r="AE35"/>
  <c r="AE45"/>
  <c r="AE42"/>
  <c r="AE101"/>
  <c r="AE124"/>
  <c r="AE123"/>
  <c r="AE120"/>
  <c r="AE121"/>
  <c r="AE119"/>
  <c r="AE116"/>
  <c r="AE115"/>
  <c r="AE114"/>
  <c r="AE113"/>
  <c r="AE112"/>
  <c r="AE111"/>
  <c r="AE109"/>
  <c r="AE108"/>
  <c r="AE107"/>
  <c r="I45"/>
  <c r="G45"/>
  <c r="E45"/>
  <c r="C45"/>
  <c r="I42"/>
  <c r="G42"/>
  <c r="E42"/>
  <c r="C42"/>
  <c r="I33"/>
  <c r="G33"/>
  <c r="E33"/>
  <c r="C33"/>
  <c r="I35"/>
  <c r="G35"/>
  <c r="E35"/>
  <c r="C35"/>
  <c r="I37"/>
  <c r="G37"/>
  <c r="E37"/>
  <c r="C37"/>
  <c r="E39" i="23"/>
  <c r="U39" i="14"/>
  <c r="U22"/>
  <c r="U20"/>
  <c r="S39"/>
  <c r="S22"/>
  <c r="S20"/>
  <c r="K39"/>
  <c r="I39"/>
  <c r="AE61" i="16" l="1"/>
  <c r="AE60"/>
  <c r="AE60" i="17"/>
  <c r="AE117"/>
  <c r="AE126" s="1"/>
  <c r="AD49" i="2"/>
  <c r="G60" i="17"/>
  <c r="E60"/>
  <c r="C60"/>
  <c r="I60"/>
  <c r="K47" i="24" l="1"/>
  <c r="K48" i="23" s="1"/>
  <c r="K46" i="24"/>
  <c r="K47" i="23" s="1"/>
  <c r="K43" i="24"/>
  <c r="K44" i="23" s="1"/>
  <c r="K41" i="24"/>
  <c r="K42" i="23" s="1"/>
  <c r="K40" i="24"/>
  <c r="K41" i="23" s="1"/>
  <c r="K38" i="24"/>
  <c r="K39" i="23" s="1"/>
  <c r="K37"/>
  <c r="I37"/>
  <c r="G37"/>
  <c r="E37"/>
  <c r="K56"/>
  <c r="K55"/>
  <c r="K54"/>
  <c r="K53"/>
  <c r="K52"/>
  <c r="K50"/>
  <c r="K49"/>
  <c r="K45"/>
  <c r="K43"/>
  <c r="I56"/>
  <c r="I55"/>
  <c r="I54"/>
  <c r="I53"/>
  <c r="I52"/>
  <c r="I50"/>
  <c r="I49"/>
  <c r="I48"/>
  <c r="I45"/>
  <c r="I43"/>
  <c r="G56"/>
  <c r="G55"/>
  <c r="G54"/>
  <c r="G53"/>
  <c r="G52"/>
  <c r="G45"/>
  <c r="G43"/>
  <c r="E56"/>
  <c r="E55"/>
  <c r="E54"/>
  <c r="E53"/>
  <c r="E52"/>
  <c r="E50"/>
  <c r="E49"/>
  <c r="E48"/>
  <c r="E47"/>
  <c r="E45"/>
  <c r="E44"/>
  <c r="E43"/>
  <c r="E42"/>
  <c r="E41"/>
  <c r="I46" i="24"/>
  <c r="I47" i="23" s="1"/>
  <c r="I43" i="24"/>
  <c r="I44" i="23" s="1"/>
  <c r="I41" i="24"/>
  <c r="I42" i="23" s="1"/>
  <c r="I40" i="24"/>
  <c r="I41" i="23" s="1"/>
  <c r="I38" i="24"/>
  <c r="I39" i="23" s="1"/>
  <c r="G49" i="24"/>
  <c r="G48"/>
  <c r="G47"/>
  <c r="G46"/>
  <c r="G43"/>
  <c r="G41"/>
  <c r="G40"/>
  <c r="G38"/>
  <c r="AN48" i="25"/>
  <c r="AN46"/>
  <c r="J79" i="20"/>
  <c r="I98" i="17" s="1"/>
  <c r="I96"/>
  <c r="J76" i="20"/>
  <c r="I93" i="17"/>
  <c r="J73" i="20"/>
  <c r="I92" i="17" s="1"/>
  <c r="J67" i="20"/>
  <c r="I86" i="17" s="1"/>
  <c r="J59" i="20"/>
  <c r="J58"/>
  <c r="J57"/>
  <c r="J58" i="19" s="1"/>
  <c r="J54" i="20"/>
  <c r="I73" i="17" s="1"/>
  <c r="J53" i="20"/>
  <c r="J51"/>
  <c r="J50"/>
  <c r="J48"/>
  <c r="I66" i="17" s="1"/>
  <c r="J46" i="20"/>
  <c r="H79"/>
  <c r="G96" i="17"/>
  <c r="G95"/>
  <c r="G94"/>
  <c r="G93"/>
  <c r="H73" i="20"/>
  <c r="H67"/>
  <c r="H66"/>
  <c r="H64"/>
  <c r="H59"/>
  <c r="H60" i="19" s="1"/>
  <c r="H58" i="20"/>
  <c r="H59" i="19" s="1"/>
  <c r="H54" i="20"/>
  <c r="G73" i="17" s="1"/>
  <c r="H48" i="20"/>
  <c r="G64" i="17"/>
  <c r="G63"/>
  <c r="F54" i="20"/>
  <c r="V41" i="11"/>
  <c r="T41"/>
  <c r="I41"/>
  <c r="K41"/>
  <c r="K38" i="12"/>
  <c r="I38"/>
  <c r="V33" i="11"/>
  <c r="V23"/>
  <c r="V22"/>
  <c r="V21"/>
  <c r="V20"/>
  <c r="T23"/>
  <c r="T22"/>
  <c r="T21"/>
  <c r="T20"/>
  <c r="K25"/>
  <c r="I25"/>
  <c r="K42" i="9"/>
  <c r="K41"/>
  <c r="K40"/>
  <c r="I42"/>
  <c r="I41"/>
  <c r="I40"/>
  <c r="I78" i="17" l="1"/>
  <c r="J60" i="19"/>
  <c r="I77" i="17"/>
  <c r="J59" i="19"/>
  <c r="G85" i="17"/>
  <c r="AE66" i="20"/>
  <c r="I64" i="17"/>
  <c r="AE46" i="20"/>
  <c r="AE53"/>
  <c r="I72" i="17"/>
  <c r="G44" i="23"/>
  <c r="AF43" i="24"/>
  <c r="G50" i="23"/>
  <c r="AF49" i="24"/>
  <c r="G77" i="17"/>
  <c r="AE58" i="20"/>
  <c r="G39" i="23"/>
  <c r="AF38" i="24"/>
  <c r="G78" i="17"/>
  <c r="AE59" i="20"/>
  <c r="G92" i="17"/>
  <c r="AE73" i="20"/>
  <c r="AE50"/>
  <c r="I69" i="17"/>
  <c r="I76"/>
  <c r="AE57" i="20"/>
  <c r="G41" i="23"/>
  <c r="AF40" i="24"/>
  <c r="G48" i="23"/>
  <c r="AF47" i="24"/>
  <c r="E73" i="17"/>
  <c r="AE54" i="20"/>
  <c r="I95" i="17"/>
  <c r="AE76" i="20"/>
  <c r="G86" i="17"/>
  <c r="AE67" i="20"/>
  <c r="G47" i="23"/>
  <c r="AF46" i="24"/>
  <c r="G66" i="17"/>
  <c r="AE48" i="20"/>
  <c r="G83" i="17"/>
  <c r="AE64" i="20"/>
  <c r="G98" i="17"/>
  <c r="AE79" i="20"/>
  <c r="I70" i="17"/>
  <c r="AE51" i="20"/>
  <c r="G42" i="23"/>
  <c r="AF41" i="24"/>
  <c r="G49" i="23"/>
  <c r="AF48" i="24"/>
  <c r="E61" i="16"/>
  <c r="G61"/>
  <c r="I57" i="23"/>
  <c r="C61" i="16"/>
  <c r="E57" i="23"/>
  <c r="I61" i="16"/>
  <c r="K57" i="23"/>
  <c r="J80" i="20"/>
  <c r="E31" i="7"/>
  <c r="E30"/>
  <c r="C31"/>
  <c r="C30"/>
  <c r="G57" i="23" l="1"/>
  <c r="G40" i="7"/>
  <c r="E42"/>
  <c r="E41"/>
  <c r="E40"/>
  <c r="E33"/>
  <c r="E32"/>
  <c r="E29"/>
  <c r="C25"/>
  <c r="C23"/>
  <c r="C21"/>
  <c r="C42"/>
  <c r="C32"/>
  <c r="E24"/>
  <c r="E25"/>
  <c r="E23"/>
  <c r="E22"/>
  <c r="E21"/>
  <c r="E20"/>
  <c r="C24"/>
  <c r="C22"/>
  <c r="C29"/>
  <c r="O33" i="14"/>
  <c r="M33"/>
  <c r="C33" i="13"/>
  <c r="E33"/>
  <c r="E26" i="7" l="1"/>
  <c r="C26"/>
  <c r="K39" i="13"/>
  <c r="I39"/>
  <c r="E37"/>
  <c r="E40" s="1"/>
  <c r="I41" i="10" l="1"/>
  <c r="K41"/>
  <c r="E35"/>
  <c r="E39" s="1"/>
  <c r="E42" s="1"/>
  <c r="AN35" i="25" l="1"/>
  <c r="AN34"/>
  <c r="AN33"/>
  <c r="AN30"/>
  <c r="AN29"/>
  <c r="AN28"/>
  <c r="AN26"/>
  <c r="AN25"/>
  <c r="AN24"/>
  <c r="AN23"/>
  <c r="AN22"/>
  <c r="AN20"/>
  <c r="Z35" i="19"/>
  <c r="X35"/>
  <c r="V35"/>
  <c r="T35"/>
  <c r="R35"/>
  <c r="P35"/>
  <c r="H16" i="2" s="1"/>
  <c r="N35" i="19"/>
  <c r="AB28" i="17"/>
  <c r="AB27"/>
  <c r="AF52" i="18"/>
  <c r="Z52"/>
  <c r="X52"/>
  <c r="V52"/>
  <c r="T52"/>
  <c r="R52"/>
  <c r="P52"/>
  <c r="D17" i="2" s="1"/>
  <c r="N52" i="18"/>
  <c r="L52"/>
  <c r="AF44"/>
  <c r="Z44"/>
  <c r="X44"/>
  <c r="V44"/>
  <c r="T44"/>
  <c r="R44"/>
  <c r="P44"/>
  <c r="D16" i="2" s="1"/>
  <c r="N44" i="18"/>
  <c r="L44"/>
  <c r="Y54" i="17" l="1"/>
  <c r="W54"/>
  <c r="U54"/>
  <c r="S54"/>
  <c r="Q54"/>
  <c r="O54"/>
  <c r="Y39"/>
  <c r="W39"/>
  <c r="U39"/>
  <c r="S39"/>
  <c r="Q39"/>
  <c r="O39"/>
  <c r="Y26"/>
  <c r="Y30" s="1"/>
  <c r="W26"/>
  <c r="W30" s="1"/>
  <c r="U26"/>
  <c r="U30" s="1"/>
  <c r="S26"/>
  <c r="S30" s="1"/>
  <c r="Q26"/>
  <c r="Q30" s="1"/>
  <c r="O26"/>
  <c r="O30" s="1"/>
  <c r="Y54" i="16"/>
  <c r="W54"/>
  <c r="U54"/>
  <c r="S54"/>
  <c r="Q54"/>
  <c r="O54"/>
  <c r="M54"/>
  <c r="Y46"/>
  <c r="W46"/>
  <c r="U46"/>
  <c r="S46"/>
  <c r="Q46"/>
  <c r="O46"/>
  <c r="M46"/>
  <c r="Y39"/>
  <c r="W39"/>
  <c r="U39"/>
  <c r="S39"/>
  <c r="Q39"/>
  <c r="O39"/>
  <c r="M39"/>
  <c r="Y26"/>
  <c r="Y30" s="1"/>
  <c r="W26"/>
  <c r="W30" s="1"/>
  <c r="U26"/>
  <c r="U30" s="1"/>
  <c r="S26"/>
  <c r="S30" s="1"/>
  <c r="Q26"/>
  <c r="Q30" s="1"/>
  <c r="O26"/>
  <c r="O30" s="1"/>
  <c r="M26"/>
  <c r="M30" s="1"/>
  <c r="AF30" i="24"/>
  <c r="G22" i="14" s="1"/>
  <c r="G22" i="13" s="1"/>
  <c r="AI30" i="24"/>
  <c r="AA30"/>
  <c r="Y30"/>
  <c r="W30"/>
  <c r="U30"/>
  <c r="S30"/>
  <c r="Q30"/>
  <c r="O30"/>
  <c r="M30"/>
  <c r="K30"/>
  <c r="I30"/>
  <c r="G30"/>
  <c r="E30"/>
  <c r="AI22"/>
  <c r="AA22"/>
  <c r="Y22"/>
  <c r="W22"/>
  <c r="U22"/>
  <c r="S22"/>
  <c r="Q22"/>
  <c r="O22"/>
  <c r="M22"/>
  <c r="K22"/>
  <c r="I22"/>
  <c r="G22"/>
  <c r="E22"/>
  <c r="AI27"/>
  <c r="AA27"/>
  <c r="Y27"/>
  <c r="W27"/>
  <c r="U27"/>
  <c r="S27"/>
  <c r="Q27"/>
  <c r="O27"/>
  <c r="M27"/>
  <c r="K27"/>
  <c r="I27"/>
  <c r="G27"/>
  <c r="E27"/>
  <c r="AE48" i="16"/>
  <c r="AE51"/>
  <c r="AE29"/>
  <c r="AE25"/>
  <c r="AE24"/>
  <c r="AE23"/>
  <c r="AE22"/>
  <c r="AE21"/>
  <c r="I51"/>
  <c r="I29"/>
  <c r="I25"/>
  <c r="I24"/>
  <c r="I23"/>
  <c r="I22"/>
  <c r="I21"/>
  <c r="AE53" i="17"/>
  <c r="AE50"/>
  <c r="AE49"/>
  <c r="AE48"/>
  <c r="AE44"/>
  <c r="AE43"/>
  <c r="AE41"/>
  <c r="AE38"/>
  <c r="AE36"/>
  <c r="AE34"/>
  <c r="AE32"/>
  <c r="AH28"/>
  <c r="AJ28" s="1"/>
  <c r="AH27"/>
  <c r="AJ27" s="1"/>
  <c r="AE29"/>
  <c r="AE25"/>
  <c r="AE24"/>
  <c r="AE23"/>
  <c r="AE22"/>
  <c r="AE21"/>
  <c r="AN24" i="24"/>
  <c r="AL25"/>
  <c r="AN25" s="1"/>
  <c r="AL24"/>
  <c r="I38" i="17"/>
  <c r="G38"/>
  <c r="E38"/>
  <c r="C38"/>
  <c r="I53"/>
  <c r="I50"/>
  <c r="I49"/>
  <c r="I48"/>
  <c r="I44"/>
  <c r="I43"/>
  <c r="I41"/>
  <c r="I36"/>
  <c r="I34"/>
  <c r="I32"/>
  <c r="I29"/>
  <c r="I25"/>
  <c r="I24"/>
  <c r="I23"/>
  <c r="I22"/>
  <c r="I21"/>
  <c r="G53"/>
  <c r="G50"/>
  <c r="G49"/>
  <c r="G48"/>
  <c r="G44"/>
  <c r="G43"/>
  <c r="G41"/>
  <c r="G36"/>
  <c r="G34"/>
  <c r="G32"/>
  <c r="G29"/>
  <c r="G25"/>
  <c r="G24"/>
  <c r="G23"/>
  <c r="G22"/>
  <c r="G21"/>
  <c r="E53"/>
  <c r="E50"/>
  <c r="E49"/>
  <c r="E48"/>
  <c r="E44"/>
  <c r="E43"/>
  <c r="E41"/>
  <c r="E36"/>
  <c r="E34"/>
  <c r="E32"/>
  <c r="E29"/>
  <c r="E25"/>
  <c r="E24"/>
  <c r="E23"/>
  <c r="E22"/>
  <c r="E21"/>
  <c r="C53"/>
  <c r="C50"/>
  <c r="C49"/>
  <c r="C48"/>
  <c r="C44"/>
  <c r="C43"/>
  <c r="C41"/>
  <c r="C36"/>
  <c r="C34"/>
  <c r="C32"/>
  <c r="C25"/>
  <c r="C29"/>
  <c r="C24"/>
  <c r="C23"/>
  <c r="C22"/>
  <c r="C21"/>
  <c r="O56" l="1"/>
  <c r="O56" i="16"/>
  <c r="U56"/>
  <c r="W56"/>
  <c r="AE54" i="17"/>
  <c r="S56" i="16"/>
  <c r="Q56"/>
  <c r="Y56"/>
  <c r="AE46" i="17"/>
  <c r="AI32" i="24"/>
  <c r="G46" i="17"/>
  <c r="C46"/>
  <c r="E46"/>
  <c r="I46"/>
  <c r="M56" i="16"/>
  <c r="I22" i="13"/>
  <c r="K22"/>
  <c r="AB22" i="17"/>
  <c r="AH22" s="1"/>
  <c r="AJ22" s="1"/>
  <c r="AB25"/>
  <c r="AH25" s="1"/>
  <c r="AJ25" s="1"/>
  <c r="AB49"/>
  <c r="AH49" s="1"/>
  <c r="AJ49" s="1"/>
  <c r="AB29"/>
  <c r="AH29" s="1"/>
  <c r="AJ29" s="1"/>
  <c r="AE26" i="16"/>
  <c r="I26"/>
  <c r="AB21" i="17"/>
  <c r="AH21" s="1"/>
  <c r="AJ21" s="1"/>
  <c r="AB24"/>
  <c r="AH24" s="1"/>
  <c r="AJ24" s="1"/>
  <c r="AE26"/>
  <c r="AE30" s="1"/>
  <c r="AB48"/>
  <c r="AB23"/>
  <c r="AH23" s="1"/>
  <c r="AJ23" s="1"/>
  <c r="AB50"/>
  <c r="AH50" s="1"/>
  <c r="AJ50" s="1"/>
  <c r="I32" i="24"/>
  <c r="Q32"/>
  <c r="Y32"/>
  <c r="K22" i="14"/>
  <c r="I22"/>
  <c r="AB35" i="17"/>
  <c r="AH35" s="1"/>
  <c r="AJ35" s="1"/>
  <c r="E32" i="24"/>
  <c r="U32"/>
  <c r="K32"/>
  <c r="S32"/>
  <c r="AA32"/>
  <c r="AL29"/>
  <c r="AN29" s="1"/>
  <c r="AB43" i="17"/>
  <c r="AH43" s="1"/>
  <c r="AJ43" s="1"/>
  <c r="M32" i="24"/>
  <c r="G32"/>
  <c r="O32"/>
  <c r="W32"/>
  <c r="AB34" i="17"/>
  <c r="AH34" s="1"/>
  <c r="AJ34" s="1"/>
  <c r="AB53"/>
  <c r="AH53" s="1"/>
  <c r="AJ53" s="1"/>
  <c r="AB38"/>
  <c r="AH38" s="1"/>
  <c r="AJ38" s="1"/>
  <c r="AB33"/>
  <c r="AH33" s="1"/>
  <c r="AJ33" s="1"/>
  <c r="AB37"/>
  <c r="AH37" s="1"/>
  <c r="AB45"/>
  <c r="AH45" s="1"/>
  <c r="AJ45" s="1"/>
  <c r="AB52"/>
  <c r="AH52" s="1"/>
  <c r="AJ52" s="1"/>
  <c r="AB42"/>
  <c r="AE39"/>
  <c r="AB41"/>
  <c r="AB32"/>
  <c r="AB36"/>
  <c r="AH36" s="1"/>
  <c r="AJ36" s="1"/>
  <c r="AB44"/>
  <c r="AH44" s="1"/>
  <c r="AJ44" s="1"/>
  <c r="E26"/>
  <c r="E30" s="1"/>
  <c r="G26"/>
  <c r="G30" s="1"/>
  <c r="I26"/>
  <c r="I30" s="1"/>
  <c r="I39"/>
  <c r="E39"/>
  <c r="G39"/>
  <c r="C39"/>
  <c r="C26"/>
  <c r="C30" s="1"/>
  <c r="AH41" l="1"/>
  <c r="AB46"/>
  <c r="AE56"/>
  <c r="AL30" i="24"/>
  <c r="AN30" s="1"/>
  <c r="AH42" i="17"/>
  <c r="AH32"/>
  <c r="AB39"/>
  <c r="AH48"/>
  <c r="AJ48" s="1"/>
  <c r="AB26"/>
  <c r="AB30" s="1"/>
  <c r="AG28" i="23"/>
  <c r="AA28"/>
  <c r="Y28"/>
  <c r="W28"/>
  <c r="U28"/>
  <c r="S28"/>
  <c r="Q28"/>
  <c r="P16" i="2" s="1"/>
  <c r="O28" i="23"/>
  <c r="K28"/>
  <c r="I28"/>
  <c r="G28"/>
  <c r="E28"/>
  <c r="AD27"/>
  <c r="AJ27" s="1"/>
  <c r="AL27" s="1"/>
  <c r="AD26"/>
  <c r="AA31"/>
  <c r="Y31"/>
  <c r="W31"/>
  <c r="U31"/>
  <c r="S31"/>
  <c r="Q31"/>
  <c r="P17" i="2" s="1"/>
  <c r="O31" i="23"/>
  <c r="K31"/>
  <c r="I31"/>
  <c r="G31"/>
  <c r="E31"/>
  <c r="AD30"/>
  <c r="AG23"/>
  <c r="AA23"/>
  <c r="Y23"/>
  <c r="W23"/>
  <c r="U23"/>
  <c r="S23"/>
  <c r="Q23"/>
  <c r="P15" i="2" s="1"/>
  <c r="O23" i="23"/>
  <c r="K23"/>
  <c r="I23"/>
  <c r="G23"/>
  <c r="E23"/>
  <c r="AD22"/>
  <c r="AJ22" s="1"/>
  <c r="AL22" s="1"/>
  <c r="AD21"/>
  <c r="AJ21" s="1"/>
  <c r="AL21" s="1"/>
  <c r="AD20"/>
  <c r="AJ20" s="1"/>
  <c r="AL20" s="1"/>
  <c r="AD23" i="22"/>
  <c r="AA20" i="3" s="1"/>
  <c r="AD20" i="22"/>
  <c r="X23"/>
  <c r="V23"/>
  <c r="T23"/>
  <c r="R23"/>
  <c r="P23"/>
  <c r="N23"/>
  <c r="L17" i="2" s="1"/>
  <c r="L23" i="22"/>
  <c r="J23"/>
  <c r="X20"/>
  <c r="X25" s="1"/>
  <c r="V20"/>
  <c r="V25" s="1"/>
  <c r="T20"/>
  <c r="T25" s="1"/>
  <c r="R20"/>
  <c r="R25" s="1"/>
  <c r="P20"/>
  <c r="P25" s="1"/>
  <c r="N20"/>
  <c r="J20"/>
  <c r="AA22"/>
  <c r="AG22" s="1"/>
  <c r="AI22" s="1"/>
  <c r="AA19"/>
  <c r="AG19" s="1"/>
  <c r="AI19" s="1"/>
  <c r="H23"/>
  <c r="F23"/>
  <c r="D23"/>
  <c r="B23"/>
  <c r="D52" i="18"/>
  <c r="F52"/>
  <c r="H52"/>
  <c r="J52"/>
  <c r="D44"/>
  <c r="F44"/>
  <c r="H44"/>
  <c r="J44"/>
  <c r="B20" i="22"/>
  <c r="B25" s="1"/>
  <c r="D20"/>
  <c r="F20"/>
  <c r="H20"/>
  <c r="AK33" i="18"/>
  <c r="AB51" i="16"/>
  <c r="AB48"/>
  <c r="AB29"/>
  <c r="AB28"/>
  <c r="AH28" s="1"/>
  <c r="AJ28" s="1"/>
  <c r="AB25"/>
  <c r="AB24"/>
  <c r="AB23"/>
  <c r="AB22"/>
  <c r="AB21"/>
  <c r="G26"/>
  <c r="E26"/>
  <c r="C26"/>
  <c r="C30" s="1"/>
  <c r="AJ81" i="17"/>
  <c r="AL37" i="25"/>
  <c r="AN37" s="1"/>
  <c r="AL36"/>
  <c r="AN36" s="1"/>
  <c r="AL35"/>
  <c r="AL34"/>
  <c r="AL33"/>
  <c r="AL31"/>
  <c r="AN31" s="1"/>
  <c r="AL30"/>
  <c r="AL29"/>
  <c r="AL28"/>
  <c r="AL26"/>
  <c r="AL25"/>
  <c r="AL24"/>
  <c r="AL23"/>
  <c r="AL22"/>
  <c r="AL20"/>
  <c r="AL18"/>
  <c r="AL54" i="24"/>
  <c r="AN54" s="1"/>
  <c r="AL53"/>
  <c r="AN53" s="1"/>
  <c r="AL52"/>
  <c r="AL51"/>
  <c r="AN51" s="1"/>
  <c r="AL49"/>
  <c r="AN49" s="1"/>
  <c r="AL47"/>
  <c r="AN47" s="1"/>
  <c r="AL44"/>
  <c r="AN44" s="1"/>
  <c r="AL43"/>
  <c r="AN43" s="1"/>
  <c r="AL41"/>
  <c r="AN41" s="1"/>
  <c r="AF83" i="19"/>
  <c r="AE101" i="16" s="1"/>
  <c r="AF104" i="19"/>
  <c r="AF103"/>
  <c r="AF102"/>
  <c r="AF101"/>
  <c r="AF98"/>
  <c r="AF97"/>
  <c r="AF96"/>
  <c r="AF95"/>
  <c r="AF94"/>
  <c r="AF93"/>
  <c r="AF91"/>
  <c r="AF90"/>
  <c r="AF89"/>
  <c r="AF37"/>
  <c r="AF34"/>
  <c r="AF33"/>
  <c r="AF32"/>
  <c r="AF31"/>
  <c r="AF30"/>
  <c r="AF27"/>
  <c r="AF26"/>
  <c r="AF25"/>
  <c r="AF24"/>
  <c r="AF23"/>
  <c r="AF22"/>
  <c r="AF21"/>
  <c r="AF18"/>
  <c r="AE88" i="16"/>
  <c r="AE66"/>
  <c r="J80" i="19"/>
  <c r="I98" i="16" s="1"/>
  <c r="J79" i="19"/>
  <c r="I97" i="16" s="1"/>
  <c r="J78" i="19"/>
  <c r="I96" i="16" s="1"/>
  <c r="J77" i="19"/>
  <c r="I95" i="16" s="1"/>
  <c r="I94"/>
  <c r="J75" i="19"/>
  <c r="I93" i="16" s="1"/>
  <c r="J74" i="19"/>
  <c r="I92" i="16" s="1"/>
  <c r="J72" i="19"/>
  <c r="I90" i="16" s="1"/>
  <c r="J71" i="19"/>
  <c r="I89" i="16" s="1"/>
  <c r="J70" i="19"/>
  <c r="I88" i="16" s="1"/>
  <c r="J68" i="19"/>
  <c r="I86" i="16" s="1"/>
  <c r="J67" i="19"/>
  <c r="I85" i="16" s="1"/>
  <c r="J66" i="19"/>
  <c r="I84" i="16" s="1"/>
  <c r="J65" i="19"/>
  <c r="I83" i="16" s="1"/>
  <c r="J64" i="19"/>
  <c r="I82" i="16" s="1"/>
  <c r="J63" i="19"/>
  <c r="I81" i="16" s="1"/>
  <c r="J61" i="19"/>
  <c r="I79" i="16" s="1"/>
  <c r="I78"/>
  <c r="I77"/>
  <c r="I76"/>
  <c r="J56" i="19"/>
  <c r="I74" i="16" s="1"/>
  <c r="J55" i="19"/>
  <c r="I73" i="16" s="1"/>
  <c r="J54" i="19"/>
  <c r="I72" i="16" s="1"/>
  <c r="J53" i="19"/>
  <c r="I71" i="16" s="1"/>
  <c r="J52" i="19"/>
  <c r="I70" i="16" s="1"/>
  <c r="J51" i="19"/>
  <c r="I69" i="16" s="1"/>
  <c r="J49" i="19"/>
  <c r="I66" i="16" s="1"/>
  <c r="J48" i="19"/>
  <c r="I65" i="16" s="1"/>
  <c r="J47" i="19"/>
  <c r="I64" i="16" s="1"/>
  <c r="J46" i="19"/>
  <c r="I63" i="16" s="1"/>
  <c r="J44" i="19"/>
  <c r="I60" i="16" s="1"/>
  <c r="H80" i="19"/>
  <c r="G98" i="16" s="1"/>
  <c r="H79" i="19"/>
  <c r="G97" i="16" s="1"/>
  <c r="H78" i="19"/>
  <c r="G96" i="16" s="1"/>
  <c r="H77" i="19"/>
  <c r="G95" i="16" s="1"/>
  <c r="H76" i="19"/>
  <c r="G94" i="16" s="1"/>
  <c r="H75" i="19"/>
  <c r="G93" i="16" s="1"/>
  <c r="H74" i="19"/>
  <c r="G92" i="16" s="1"/>
  <c r="H72" i="19"/>
  <c r="G90" i="16" s="1"/>
  <c r="H71" i="19"/>
  <c r="G89" i="16" s="1"/>
  <c r="H70" i="19"/>
  <c r="G88" i="16" s="1"/>
  <c r="H68" i="19"/>
  <c r="G86" i="16" s="1"/>
  <c r="H67" i="19"/>
  <c r="G85" i="16" s="1"/>
  <c r="H66" i="19"/>
  <c r="G84" i="16" s="1"/>
  <c r="H65" i="19"/>
  <c r="G83" i="16" s="1"/>
  <c r="H64" i="19"/>
  <c r="G82" i="16" s="1"/>
  <c r="H63" i="19"/>
  <c r="G81" i="16" s="1"/>
  <c r="H61" i="19"/>
  <c r="G79" i="16" s="1"/>
  <c r="G78"/>
  <c r="G77"/>
  <c r="G76"/>
  <c r="H56" i="19"/>
  <c r="G74" i="16" s="1"/>
  <c r="H55" i="19"/>
  <c r="G73" i="16" s="1"/>
  <c r="H54" i="19"/>
  <c r="G72" i="16" s="1"/>
  <c r="H53" i="19"/>
  <c r="G71" i="16" s="1"/>
  <c r="H52" i="19"/>
  <c r="G70" i="16" s="1"/>
  <c r="H51" i="19"/>
  <c r="G69" i="16" s="1"/>
  <c r="H49" i="19"/>
  <c r="G66" i="16" s="1"/>
  <c r="H48" i="19"/>
  <c r="G65" i="16" s="1"/>
  <c r="H47" i="19"/>
  <c r="G64" i="16" s="1"/>
  <c r="H46" i="19"/>
  <c r="G63" i="16" s="1"/>
  <c r="H44" i="19"/>
  <c r="G60" i="16" s="1"/>
  <c r="F80" i="19"/>
  <c r="E98" i="16" s="1"/>
  <c r="F79" i="19"/>
  <c r="E97" i="16" s="1"/>
  <c r="F78" i="19"/>
  <c r="E96" i="16" s="1"/>
  <c r="F77" i="19"/>
  <c r="E95" i="16" s="1"/>
  <c r="F76" i="19"/>
  <c r="E94" i="16" s="1"/>
  <c r="F75" i="19"/>
  <c r="E93" i="16" s="1"/>
  <c r="F74" i="19"/>
  <c r="E92" i="16" s="1"/>
  <c r="F72" i="19"/>
  <c r="E90" i="16" s="1"/>
  <c r="F71" i="19"/>
  <c r="E89" i="16" s="1"/>
  <c r="F70" i="19"/>
  <c r="E88" i="16" s="1"/>
  <c r="F68" i="19"/>
  <c r="E86" i="16" s="1"/>
  <c r="F67" i="19"/>
  <c r="E85" i="16" s="1"/>
  <c r="F66" i="19"/>
  <c r="E84" i="16" s="1"/>
  <c r="F65" i="19"/>
  <c r="E83" i="16" s="1"/>
  <c r="F64" i="19"/>
  <c r="E82" i="16" s="1"/>
  <c r="F63" i="19"/>
  <c r="E81" i="16" s="1"/>
  <c r="F61" i="19"/>
  <c r="E79" i="16" s="1"/>
  <c r="E78"/>
  <c r="E77"/>
  <c r="E76"/>
  <c r="F56" i="19"/>
  <c r="E74" i="16" s="1"/>
  <c r="F55" i="19"/>
  <c r="E73" i="16" s="1"/>
  <c r="F54" i="19"/>
  <c r="E72" i="16" s="1"/>
  <c r="F53" i="19"/>
  <c r="E71" i="16" s="1"/>
  <c r="F52" i="19"/>
  <c r="E70" i="16" s="1"/>
  <c r="F51" i="19"/>
  <c r="E69" i="16" s="1"/>
  <c r="F49" i="19"/>
  <c r="E66" i="16" s="1"/>
  <c r="F48" i="19"/>
  <c r="E65" i="16" s="1"/>
  <c r="F47" i="19"/>
  <c r="E64" i="16" s="1"/>
  <c r="F46" i="19"/>
  <c r="E63" i="16" s="1"/>
  <c r="F44" i="19"/>
  <c r="E60" i="16" s="1"/>
  <c r="D80" i="19"/>
  <c r="C98" i="16" s="1"/>
  <c r="D79" i="19"/>
  <c r="D78"/>
  <c r="C96" i="16" s="1"/>
  <c r="D77" i="19"/>
  <c r="C95" i="16" s="1"/>
  <c r="D76" i="19"/>
  <c r="C94" i="16" s="1"/>
  <c r="D75" i="19"/>
  <c r="C93" i="16" s="1"/>
  <c r="D74" i="19"/>
  <c r="C92" i="16" s="1"/>
  <c r="D72" i="19"/>
  <c r="C90" i="16" s="1"/>
  <c r="D71" i="19"/>
  <c r="C89" i="16" s="1"/>
  <c r="D70" i="19"/>
  <c r="D68"/>
  <c r="C86" i="16" s="1"/>
  <c r="D67" i="19"/>
  <c r="C85" i="16" s="1"/>
  <c r="D66" i="19"/>
  <c r="D65"/>
  <c r="C83" i="16" s="1"/>
  <c r="D64" i="19"/>
  <c r="C82" i="16" s="1"/>
  <c r="D63" i="19"/>
  <c r="C81" i="16" s="1"/>
  <c r="D61" i="19"/>
  <c r="C79" i="16" s="1"/>
  <c r="C78"/>
  <c r="C77"/>
  <c r="C76"/>
  <c r="D56" i="19"/>
  <c r="C74" i="16" s="1"/>
  <c r="D55" i="19"/>
  <c r="C73" i="16" s="1"/>
  <c r="D54" i="19"/>
  <c r="C72" i="16" s="1"/>
  <c r="D53" i="19"/>
  <c r="C71" i="16" s="1"/>
  <c r="D52" i="19"/>
  <c r="C70" i="16" s="1"/>
  <c r="D51" i="19"/>
  <c r="C69" i="16" s="1"/>
  <c r="D49" i="19"/>
  <c r="D48"/>
  <c r="D47"/>
  <c r="C64" i="16" s="1"/>
  <c r="D46" i="19"/>
  <c r="D44"/>
  <c r="C60" i="16" s="1"/>
  <c r="Z38" i="19"/>
  <c r="X38"/>
  <c r="V38"/>
  <c r="T38"/>
  <c r="R38"/>
  <c r="P38"/>
  <c r="H17" i="2" s="1"/>
  <c r="N38" i="19"/>
  <c r="Z28"/>
  <c r="X28"/>
  <c r="V28"/>
  <c r="T28"/>
  <c r="R28"/>
  <c r="P28"/>
  <c r="H15" i="2" s="1"/>
  <c r="N28" i="19"/>
  <c r="J37"/>
  <c r="I53" i="16" s="1"/>
  <c r="I54" i="17"/>
  <c r="I56" s="1"/>
  <c r="H37" i="19"/>
  <c r="G53" i="16" s="1"/>
  <c r="G54" i="17"/>
  <c r="G56" s="1"/>
  <c r="F37" i="19"/>
  <c r="E53" i="16" s="1"/>
  <c r="E54" i="17"/>
  <c r="E56" s="1"/>
  <c r="J34" i="19"/>
  <c r="I45" i="16" s="1"/>
  <c r="J33" i="19"/>
  <c r="I44" i="16" s="1"/>
  <c r="J32" i="19"/>
  <c r="J31"/>
  <c r="I42" i="16" s="1"/>
  <c r="J30" i="19"/>
  <c r="H34"/>
  <c r="G45" i="16" s="1"/>
  <c r="H33" i="19"/>
  <c r="G44" i="16" s="1"/>
  <c r="H32" i="19"/>
  <c r="G43" i="16" s="1"/>
  <c r="H31" i="19"/>
  <c r="G42" i="16" s="1"/>
  <c r="H30" i="19"/>
  <c r="G41" i="16" s="1"/>
  <c r="F34" i="19"/>
  <c r="E45" i="16" s="1"/>
  <c r="F33" i="19"/>
  <c r="E44" i="16" s="1"/>
  <c r="F32" i="19"/>
  <c r="E43" i="16" s="1"/>
  <c r="F31" i="19"/>
  <c r="E42" i="16" s="1"/>
  <c r="F30" i="19"/>
  <c r="E41" i="16" s="1"/>
  <c r="J27" i="19"/>
  <c r="I38" i="16" s="1"/>
  <c r="J26" i="19"/>
  <c r="I37" i="16" s="1"/>
  <c r="J25" i="19"/>
  <c r="I36" i="16" s="1"/>
  <c r="J24" i="19"/>
  <c r="I35" i="16" s="1"/>
  <c r="J23" i="19"/>
  <c r="I34" i="16" s="1"/>
  <c r="J22" i="19"/>
  <c r="I33" i="16" s="1"/>
  <c r="J21" i="19"/>
  <c r="H27"/>
  <c r="G38" i="16" s="1"/>
  <c r="H26" i="19"/>
  <c r="G37" i="16" s="1"/>
  <c r="H25" i="19"/>
  <c r="G36" i="16" s="1"/>
  <c r="H24" i="19"/>
  <c r="G35" i="16" s="1"/>
  <c r="H23" i="19"/>
  <c r="G34" i="16" s="1"/>
  <c r="H22" i="19"/>
  <c r="G33" i="16" s="1"/>
  <c r="H21" i="19"/>
  <c r="G32" i="16" s="1"/>
  <c r="F27" i="19"/>
  <c r="E38" i="16" s="1"/>
  <c r="F26" i="19"/>
  <c r="E37" i="16" s="1"/>
  <c r="F25" i="19"/>
  <c r="E36" i="16" s="1"/>
  <c r="F24" i="19"/>
  <c r="E35" i="16" s="1"/>
  <c r="F23" i="19"/>
  <c r="E34" i="16" s="1"/>
  <c r="F22" i="19"/>
  <c r="E33" i="16" s="1"/>
  <c r="F21" i="19"/>
  <c r="E32" i="16"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J18" i="19"/>
  <c r="I27" i="16" s="1"/>
  <c r="I30" s="1"/>
  <c r="H18" i="19"/>
  <c r="G27" i="16" s="1"/>
  <c r="F18" i="19"/>
  <c r="E27" i="16" s="1"/>
  <c r="AH114" i="20"/>
  <c r="AK36"/>
  <c r="AM36" s="1"/>
  <c r="AK33"/>
  <c r="AM33" s="1"/>
  <c r="AK32"/>
  <c r="AM32" s="1"/>
  <c r="AK31"/>
  <c r="AM31" s="1"/>
  <c r="AK30"/>
  <c r="AM30" s="1"/>
  <c r="AA19" i="3"/>
  <c r="AM25" i="20"/>
  <c r="AM24"/>
  <c r="AK26"/>
  <c r="AM26" s="1"/>
  <c r="AK25"/>
  <c r="AK24"/>
  <c r="AK23"/>
  <c r="AM23" s="1"/>
  <c r="AK22"/>
  <c r="AM22" s="1"/>
  <c r="AK21"/>
  <c r="AM21" s="1"/>
  <c r="C86" i="17"/>
  <c r="C85"/>
  <c r="C79"/>
  <c r="E21" i="8"/>
  <c r="I133" i="17"/>
  <c r="G133"/>
  <c r="E133"/>
  <c r="C133"/>
  <c r="F25" i="22" l="1"/>
  <c r="N25"/>
  <c r="L15" i="2"/>
  <c r="AD25" i="22"/>
  <c r="AH22" i="16"/>
  <c r="AJ22" s="1"/>
  <c r="AH23"/>
  <c r="AJ23" s="1"/>
  <c r="AH29"/>
  <c r="AJ29" s="1"/>
  <c r="AH21"/>
  <c r="AJ21" s="1"/>
  <c r="AH25"/>
  <c r="AJ25" s="1"/>
  <c r="AH24"/>
  <c r="AJ24" s="1"/>
  <c r="AH48"/>
  <c r="AJ48" s="1"/>
  <c r="H25" i="22"/>
  <c r="D25"/>
  <c r="J25"/>
  <c r="P20" i="2"/>
  <c r="E30" i="16"/>
  <c r="AL38" i="25"/>
  <c r="L25" i="22"/>
  <c r="G30" i="16"/>
  <c r="AJ41" i="17"/>
  <c r="AH46"/>
  <c r="AJ46" s="1"/>
  <c r="AB27" i="16"/>
  <c r="AD14" i="2"/>
  <c r="AE27" i="16"/>
  <c r="R40" i="19"/>
  <c r="Z40"/>
  <c r="N40"/>
  <c r="V40"/>
  <c r="T40"/>
  <c r="P40"/>
  <c r="X40"/>
  <c r="C54" i="16"/>
  <c r="C46"/>
  <c r="AB45"/>
  <c r="G39"/>
  <c r="AJ30" i="23"/>
  <c r="AL30" s="1"/>
  <c r="AD31"/>
  <c r="G46" i="16"/>
  <c r="C39"/>
  <c r="E39"/>
  <c r="E46"/>
  <c r="AB42"/>
  <c r="E54"/>
  <c r="G54"/>
  <c r="AE65"/>
  <c r="AE76"/>
  <c r="AE85"/>
  <c r="AE90"/>
  <c r="AE98"/>
  <c r="AE38"/>
  <c r="AE44"/>
  <c r="AK29" i="20"/>
  <c r="AK34" s="1"/>
  <c r="AM34" s="1"/>
  <c r="AE34"/>
  <c r="J19" i="3" s="1"/>
  <c r="AE64" i="16"/>
  <c r="AE74"/>
  <c r="AE79"/>
  <c r="AE89"/>
  <c r="AE93"/>
  <c r="AE97"/>
  <c r="AE33"/>
  <c r="AE37"/>
  <c r="AK26" i="19"/>
  <c r="AE43" i="16"/>
  <c r="AE53"/>
  <c r="G20" i="11"/>
  <c r="G20" i="10" s="1"/>
  <c r="AE63" i="16"/>
  <c r="AE78"/>
  <c r="AE83"/>
  <c r="AE92"/>
  <c r="AE96"/>
  <c r="AE32"/>
  <c r="AE36"/>
  <c r="AK25" i="19"/>
  <c r="AE42" i="16"/>
  <c r="AB34"/>
  <c r="AE27" i="20"/>
  <c r="J18" i="3" s="1"/>
  <c r="AB37" i="16"/>
  <c r="AE37" i="20"/>
  <c r="J20" i="3" s="1"/>
  <c r="AB36" i="16"/>
  <c r="AB44"/>
  <c r="AB50"/>
  <c r="AE94"/>
  <c r="AE34"/>
  <c r="AE84"/>
  <c r="AE77"/>
  <c r="AE82"/>
  <c r="AE86"/>
  <c r="AE95"/>
  <c r="AE35"/>
  <c r="AE45"/>
  <c r="AB38"/>
  <c r="AB52"/>
  <c r="AB33"/>
  <c r="AB53"/>
  <c r="C63"/>
  <c r="AB63" s="1"/>
  <c r="AE91"/>
  <c r="AE81"/>
  <c r="AC21" i="19"/>
  <c r="AI21" s="1"/>
  <c r="AC25"/>
  <c r="AI25" s="1"/>
  <c r="AB51" i="17"/>
  <c r="AB54" s="1"/>
  <c r="C54"/>
  <c r="C56" s="1"/>
  <c r="AC27" i="19"/>
  <c r="AI27" s="1"/>
  <c r="AK27" s="1"/>
  <c r="AC24"/>
  <c r="AI24" s="1"/>
  <c r="AK24" s="1"/>
  <c r="AC34"/>
  <c r="AI34" s="1"/>
  <c r="AK34" s="1"/>
  <c r="D38"/>
  <c r="F28"/>
  <c r="AC26"/>
  <c r="AI26" s="1"/>
  <c r="AC23"/>
  <c r="AI23" s="1"/>
  <c r="AK23" s="1"/>
  <c r="F35"/>
  <c r="AC33"/>
  <c r="AI33" s="1"/>
  <c r="AK33" s="1"/>
  <c r="AC37"/>
  <c r="AI37" s="1"/>
  <c r="AK37" s="1"/>
  <c r="I54" i="16"/>
  <c r="I43"/>
  <c r="AB43" s="1"/>
  <c r="AF35" i="19"/>
  <c r="AD16" i="2" s="1"/>
  <c r="AE41" i="16"/>
  <c r="J35" i="19"/>
  <c r="I41" i="16"/>
  <c r="AC32" i="19"/>
  <c r="AI32" s="1"/>
  <c r="AK32" s="1"/>
  <c r="F38"/>
  <c r="J38"/>
  <c r="H28"/>
  <c r="AF115"/>
  <c r="AC30"/>
  <c r="AI30" s="1"/>
  <c r="AK30" s="1"/>
  <c r="D35"/>
  <c r="J28"/>
  <c r="I32" i="16"/>
  <c r="AB32" s="1"/>
  <c r="AF38" i="19"/>
  <c r="AD17" i="2" s="1"/>
  <c r="D28" i="19"/>
  <c r="AF99"/>
  <c r="AF106" s="1"/>
  <c r="AB35" i="16"/>
  <c r="AC31" i="19"/>
  <c r="AI31" s="1"/>
  <c r="AK31" s="1"/>
  <c r="H35"/>
  <c r="H38"/>
  <c r="AF28"/>
  <c r="AB49" i="16"/>
  <c r="AH26" i="17"/>
  <c r="AJ42"/>
  <c r="AJ32"/>
  <c r="AH39"/>
  <c r="AJ39" s="1"/>
  <c r="AH51" i="16"/>
  <c r="AJ51" s="1"/>
  <c r="G33" i="23"/>
  <c r="O33"/>
  <c r="W33"/>
  <c r="I33"/>
  <c r="K33"/>
  <c r="S33"/>
  <c r="AA33"/>
  <c r="E33"/>
  <c r="U33"/>
  <c r="Q33"/>
  <c r="Y33"/>
  <c r="AG33"/>
  <c r="AD28"/>
  <c r="AJ26"/>
  <c r="AD23"/>
  <c r="AA20" i="22"/>
  <c r="AA23"/>
  <c r="AB26" i="16"/>
  <c r="AL55" i="24"/>
  <c r="AN55" s="1"/>
  <c r="AL42"/>
  <c r="AN42" s="1"/>
  <c r="AL46"/>
  <c r="AN46" s="1"/>
  <c r="AL48"/>
  <c r="AN48" s="1"/>
  <c r="AL40"/>
  <c r="AN40" s="1"/>
  <c r="AL36"/>
  <c r="AN36" s="1"/>
  <c r="AF81" i="19"/>
  <c r="AL38" i="24"/>
  <c r="AN38" s="1"/>
  <c r="AC22" i="19"/>
  <c r="AI22" s="1"/>
  <c r="AK22" s="1"/>
  <c r="AK16" i="20"/>
  <c r="AK20"/>
  <c r="AK27" s="1"/>
  <c r="AC18" i="19"/>
  <c r="J17" i="3"/>
  <c r="AC51" i="18"/>
  <c r="AI51" s="1"/>
  <c r="AC50"/>
  <c r="AI50" s="1"/>
  <c r="AK50" s="1"/>
  <c r="AC49"/>
  <c r="AI49" s="1"/>
  <c r="AC48"/>
  <c r="AI48" s="1"/>
  <c r="AK48" s="1"/>
  <c r="AC47"/>
  <c r="AI47" s="1"/>
  <c r="AK47" s="1"/>
  <c r="AC46"/>
  <c r="AC43"/>
  <c r="AI43" s="1"/>
  <c r="AC42"/>
  <c r="AI42" s="1"/>
  <c r="AK42" s="1"/>
  <c r="AC41"/>
  <c r="AI41" s="1"/>
  <c r="AK41" s="1"/>
  <c r="AC40"/>
  <c r="AI40" s="1"/>
  <c r="AK40" s="1"/>
  <c r="AC39"/>
  <c r="AI39" s="1"/>
  <c r="AK39" s="1"/>
  <c r="AC36"/>
  <c r="AI36" s="1"/>
  <c r="AC35"/>
  <c r="AI35" s="1"/>
  <c r="AC34"/>
  <c r="AI34" s="1"/>
  <c r="AK34" s="1"/>
  <c r="AC33"/>
  <c r="AI33" s="1"/>
  <c r="AC32"/>
  <c r="AI32" s="1"/>
  <c r="AK32" s="1"/>
  <c r="AC31"/>
  <c r="AI31" s="1"/>
  <c r="AC30"/>
  <c r="AI30" s="1"/>
  <c r="AK30" s="1"/>
  <c r="AC27"/>
  <c r="AC26"/>
  <c r="AC25"/>
  <c r="AI25" s="1"/>
  <c r="AK25" s="1"/>
  <c r="AC23"/>
  <c r="AI23" s="1"/>
  <c r="AK23" s="1"/>
  <c r="AC22"/>
  <c r="AI22" s="1"/>
  <c r="AK22" s="1"/>
  <c r="AC21"/>
  <c r="AI21" s="1"/>
  <c r="AK21" s="1"/>
  <c r="AC20"/>
  <c r="AI20" s="1"/>
  <c r="AK20" s="1"/>
  <c r="AC19"/>
  <c r="AI19" s="1"/>
  <c r="AK19" s="1"/>
  <c r="AF37"/>
  <c r="AA18" i="3" s="1"/>
  <c r="Z37" i="18"/>
  <c r="X37"/>
  <c r="V37"/>
  <c r="T37"/>
  <c r="R37"/>
  <c r="P37"/>
  <c r="D15" i="2" s="1"/>
  <c r="N37" i="18"/>
  <c r="L37"/>
  <c r="J37"/>
  <c r="H37"/>
  <c r="F37"/>
  <c r="D37"/>
  <c r="Z24"/>
  <c r="Z28" s="1"/>
  <c r="X24"/>
  <c r="X28" s="1"/>
  <c r="V24"/>
  <c r="V28" s="1"/>
  <c r="T24"/>
  <c r="T28" s="1"/>
  <c r="R24"/>
  <c r="R28" s="1"/>
  <c r="P24"/>
  <c r="P28" s="1"/>
  <c r="D14" i="2" s="1"/>
  <c r="N24" i="18"/>
  <c r="N28" s="1"/>
  <c r="L24"/>
  <c r="L28" s="1"/>
  <c r="J24"/>
  <c r="J28" s="1"/>
  <c r="H24"/>
  <c r="H28" s="1"/>
  <c r="F24"/>
  <c r="F28" s="1"/>
  <c r="D24"/>
  <c r="D28" s="1"/>
  <c r="AA15" i="3"/>
  <c r="Y15"/>
  <c r="F15"/>
  <c r="F14"/>
  <c r="D15"/>
  <c r="AB98" i="17"/>
  <c r="AE99"/>
  <c r="Y99"/>
  <c r="W99"/>
  <c r="U99"/>
  <c r="S99"/>
  <c r="Q99"/>
  <c r="O99"/>
  <c r="Y56"/>
  <c r="W56"/>
  <c r="U56"/>
  <c r="S56"/>
  <c r="Q56"/>
  <c r="Y99" i="16"/>
  <c r="W99"/>
  <c r="U99"/>
  <c r="S99"/>
  <c r="Q99"/>
  <c r="O99"/>
  <c r="M99"/>
  <c r="AH52" i="21"/>
  <c r="AH56" s="1"/>
  <c r="Z52"/>
  <c r="Z56" s="1"/>
  <c r="X52"/>
  <c r="X56" s="1"/>
  <c r="V52"/>
  <c r="V56" s="1"/>
  <c r="T52"/>
  <c r="T56" s="1"/>
  <c r="R52"/>
  <c r="R56" s="1"/>
  <c r="P52"/>
  <c r="P56" s="1"/>
  <c r="N56"/>
  <c r="J52"/>
  <c r="J56" s="1"/>
  <c r="H52"/>
  <c r="H56" s="1"/>
  <c r="F52"/>
  <c r="F56" s="1"/>
  <c r="D52"/>
  <c r="D56" s="1"/>
  <c r="AH80" i="20"/>
  <c r="Z80"/>
  <c r="X80"/>
  <c r="V80"/>
  <c r="T80"/>
  <c r="R80"/>
  <c r="L80"/>
  <c r="H80"/>
  <c r="F80"/>
  <c r="D80"/>
  <c r="D84" s="1"/>
  <c r="Z81" i="19"/>
  <c r="X81"/>
  <c r="V81"/>
  <c r="T81"/>
  <c r="R81"/>
  <c r="P81"/>
  <c r="H18" i="2" s="1"/>
  <c r="N81" i="19"/>
  <c r="H81"/>
  <c r="F81"/>
  <c r="AF88" i="18"/>
  <c r="Z88"/>
  <c r="X88"/>
  <c r="V88"/>
  <c r="T88"/>
  <c r="R88"/>
  <c r="P88"/>
  <c r="D18" i="2" s="1"/>
  <c r="N88" i="18"/>
  <c r="L88"/>
  <c r="J88"/>
  <c r="H88"/>
  <c r="F88"/>
  <c r="AA42" i="25"/>
  <c r="Y42"/>
  <c r="W42"/>
  <c r="U42"/>
  <c r="S42"/>
  <c r="Q42"/>
  <c r="O42"/>
  <c r="M42"/>
  <c r="K42"/>
  <c r="I42"/>
  <c r="G42"/>
  <c r="E42"/>
  <c r="Q23" i="14"/>
  <c r="AI56" i="24"/>
  <c r="AF56"/>
  <c r="G23" i="14" s="1"/>
  <c r="AA56" i="24"/>
  <c r="Y56"/>
  <c r="W56"/>
  <c r="U56"/>
  <c r="S56"/>
  <c r="Q56"/>
  <c r="O56"/>
  <c r="M56"/>
  <c r="K56"/>
  <c r="I56"/>
  <c r="G56"/>
  <c r="E56"/>
  <c r="AB30" i="16" l="1"/>
  <c r="AH26"/>
  <c r="AJ26" s="1"/>
  <c r="AH37"/>
  <c r="AJ37" s="1"/>
  <c r="AK21" i="19"/>
  <c r="AI28"/>
  <c r="AK28" s="1"/>
  <c r="AA25" i="22"/>
  <c r="AI27" i="18"/>
  <c r="AK27" s="1"/>
  <c r="K20" i="10"/>
  <c r="AH27" i="16"/>
  <c r="AE30"/>
  <c r="G23" i="11"/>
  <c r="G23" i="10" s="1"/>
  <c r="K23" s="1"/>
  <c r="R85" i="19"/>
  <c r="T85"/>
  <c r="Z85"/>
  <c r="P85"/>
  <c r="N85"/>
  <c r="V85"/>
  <c r="X85"/>
  <c r="I20" i="10"/>
  <c r="K20" i="11"/>
  <c r="AH30" i="17"/>
  <c r="AJ30" s="1"/>
  <c r="AB56"/>
  <c r="AH56" s="1"/>
  <c r="C56" i="16"/>
  <c r="AH36"/>
  <c r="AJ36" s="1"/>
  <c r="AH38"/>
  <c r="AJ38" s="1"/>
  <c r="AH45"/>
  <c r="AJ45" s="1"/>
  <c r="AI26" i="18"/>
  <c r="AK26" s="1"/>
  <c r="L84" i="20"/>
  <c r="AH53" i="16"/>
  <c r="AJ53" s="1"/>
  <c r="AH50"/>
  <c r="AJ50" s="1"/>
  <c r="E56"/>
  <c r="G56"/>
  <c r="AH33"/>
  <c r="AJ33" s="1"/>
  <c r="AH42"/>
  <c r="AJ42" s="1"/>
  <c r="AE46"/>
  <c r="AH52"/>
  <c r="AJ52" s="1"/>
  <c r="AE54"/>
  <c r="AH35"/>
  <c r="AJ35" s="1"/>
  <c r="AE39"/>
  <c r="AH44"/>
  <c r="AJ44" s="1"/>
  <c r="AH34"/>
  <c r="AJ34" s="1"/>
  <c r="AE39" i="20"/>
  <c r="AM29"/>
  <c r="AH43" i="16"/>
  <c r="AJ43" s="1"/>
  <c r="AK37" i="20"/>
  <c r="AK39" s="1"/>
  <c r="I20" i="11"/>
  <c r="V84" i="20"/>
  <c r="G23" i="13"/>
  <c r="AI42" i="25"/>
  <c r="H54" i="18"/>
  <c r="R54"/>
  <c r="R92" s="1"/>
  <c r="Z54"/>
  <c r="Z92" s="1"/>
  <c r="F54"/>
  <c r="F92" s="1"/>
  <c r="AD15" i="2"/>
  <c r="P54" i="18"/>
  <c r="P92" s="1"/>
  <c r="X54"/>
  <c r="X92" s="1"/>
  <c r="D54"/>
  <c r="L54"/>
  <c r="L92" s="1"/>
  <c r="T54"/>
  <c r="T92" s="1"/>
  <c r="N54"/>
  <c r="N92" s="1"/>
  <c r="V54"/>
  <c r="V92" s="1"/>
  <c r="AI44"/>
  <c r="AI46"/>
  <c r="AK46" s="1"/>
  <c r="AC52"/>
  <c r="G23" i="9" s="1"/>
  <c r="AC44" i="18"/>
  <c r="G22" i="9" s="1"/>
  <c r="AI35" i="19"/>
  <c r="AK35" s="1"/>
  <c r="Z84" i="20"/>
  <c r="P84"/>
  <c r="T84"/>
  <c r="F40" i="19"/>
  <c r="AH51" i="17"/>
  <c r="K23" i="14"/>
  <c r="I23"/>
  <c r="AG23" i="22"/>
  <c r="AI23" s="1"/>
  <c r="G22" i="12"/>
  <c r="N17" i="2"/>
  <c r="AG20" i="22"/>
  <c r="G21" i="12"/>
  <c r="N15" i="2"/>
  <c r="U23" i="14"/>
  <c r="S23"/>
  <c r="F84" i="20"/>
  <c r="N84"/>
  <c r="AH84"/>
  <c r="X84"/>
  <c r="G21" i="11"/>
  <c r="D40" i="19"/>
  <c r="J40"/>
  <c r="AC35"/>
  <c r="J16" i="2" s="1"/>
  <c r="H40" i="19"/>
  <c r="AB54" i="16"/>
  <c r="AH49"/>
  <c r="AJ49" s="1"/>
  <c r="AF40" i="19"/>
  <c r="AF85" s="1"/>
  <c r="AF109" s="1"/>
  <c r="AF119" s="1"/>
  <c r="AF121" s="1"/>
  <c r="R84" i="20"/>
  <c r="G22" i="11"/>
  <c r="G22" i="10" s="1"/>
  <c r="I39" i="16"/>
  <c r="AB39"/>
  <c r="AH32"/>
  <c r="AJ32" s="1"/>
  <c r="I46"/>
  <c r="AB41"/>
  <c r="H84" i="20"/>
  <c r="AJ26" i="17"/>
  <c r="AJ23" i="23"/>
  <c r="AL23" s="1"/>
  <c r="R15" i="2"/>
  <c r="AJ31" i="23"/>
  <c r="AL31" s="1"/>
  <c r="R17" i="2"/>
  <c r="R16"/>
  <c r="W103" i="17"/>
  <c r="O103"/>
  <c r="S60" i="24"/>
  <c r="Q60"/>
  <c r="E60"/>
  <c r="M60"/>
  <c r="U60"/>
  <c r="K60"/>
  <c r="AA60"/>
  <c r="I60"/>
  <c r="Y60"/>
  <c r="G60"/>
  <c r="O60"/>
  <c r="W60"/>
  <c r="AI60"/>
  <c r="U103" i="17"/>
  <c r="Q103"/>
  <c r="Y103"/>
  <c r="S103"/>
  <c r="AE103"/>
  <c r="AE129" s="1"/>
  <c r="AE139" s="1"/>
  <c r="AD33" i="23"/>
  <c r="AJ33" s="1"/>
  <c r="AL33" s="1"/>
  <c r="AJ28"/>
  <c r="AL28" s="1"/>
  <c r="AL26"/>
  <c r="AE99" i="16"/>
  <c r="Y103"/>
  <c r="M103"/>
  <c r="U103"/>
  <c r="S103"/>
  <c r="Q103"/>
  <c r="O103"/>
  <c r="W103"/>
  <c r="AL56" i="24"/>
  <c r="AN56" s="1"/>
  <c r="AM16" i="20"/>
  <c r="AM20"/>
  <c r="AM27"/>
  <c r="AI38" i="19"/>
  <c r="AK38" s="1"/>
  <c r="J14" i="2"/>
  <c r="AI18" i="19"/>
  <c r="AK18" s="1"/>
  <c r="J84" i="20"/>
  <c r="AC38" i="19"/>
  <c r="J17" i="2" s="1"/>
  <c r="AC28" i="19"/>
  <c r="J15" i="2" s="1"/>
  <c r="AF54" i="18"/>
  <c r="AF92" s="1"/>
  <c r="AI37"/>
  <c r="J54"/>
  <c r="J92" s="1"/>
  <c r="AC37"/>
  <c r="G21" i="9" s="1"/>
  <c r="AC28" i="18"/>
  <c r="H92"/>
  <c r="AB64" i="17"/>
  <c r="AB71"/>
  <c r="AB76"/>
  <c r="AB82"/>
  <c r="AB90"/>
  <c r="AB94"/>
  <c r="G99"/>
  <c r="AB63"/>
  <c r="AB70"/>
  <c r="AB74"/>
  <c r="AB79"/>
  <c r="AB86"/>
  <c r="AB93"/>
  <c r="AB61"/>
  <c r="AB69"/>
  <c r="AB73"/>
  <c r="AB78"/>
  <c r="AB85"/>
  <c r="AB92"/>
  <c r="AB96"/>
  <c r="AB60"/>
  <c r="AB68"/>
  <c r="AB72"/>
  <c r="AB77"/>
  <c r="AB83"/>
  <c r="AB91"/>
  <c r="AB95"/>
  <c r="E99"/>
  <c r="I99"/>
  <c r="AN38" i="25"/>
  <c r="O61" i="23"/>
  <c r="Q61"/>
  <c r="S61"/>
  <c r="U61"/>
  <c r="W61"/>
  <c r="Y61"/>
  <c r="AA61"/>
  <c r="C26" i="13"/>
  <c r="C27" s="1"/>
  <c r="E133" i="16"/>
  <c r="I123"/>
  <c r="G123"/>
  <c r="E123"/>
  <c r="C123"/>
  <c r="I132" i="17"/>
  <c r="G132"/>
  <c r="E132"/>
  <c r="C132"/>
  <c r="I124"/>
  <c r="I123"/>
  <c r="I121"/>
  <c r="I120"/>
  <c r="I119"/>
  <c r="G124"/>
  <c r="G123"/>
  <c r="G121"/>
  <c r="G120"/>
  <c r="G119"/>
  <c r="E124"/>
  <c r="E123"/>
  <c r="E121"/>
  <c r="E120"/>
  <c r="E119"/>
  <c r="C124"/>
  <c r="C123"/>
  <c r="C121"/>
  <c r="C120"/>
  <c r="C119"/>
  <c r="I116"/>
  <c r="I115"/>
  <c r="I114"/>
  <c r="I113"/>
  <c r="I112"/>
  <c r="I111"/>
  <c r="I109"/>
  <c r="I108"/>
  <c r="I107"/>
  <c r="G116"/>
  <c r="G115"/>
  <c r="G114"/>
  <c r="G113"/>
  <c r="G112"/>
  <c r="G111"/>
  <c r="G109"/>
  <c r="G108"/>
  <c r="G107"/>
  <c r="E116"/>
  <c r="E115"/>
  <c r="E114"/>
  <c r="E113"/>
  <c r="E112"/>
  <c r="E111"/>
  <c r="E109"/>
  <c r="E108"/>
  <c r="E107"/>
  <c r="C116"/>
  <c r="C115"/>
  <c r="C114"/>
  <c r="C113"/>
  <c r="C112"/>
  <c r="C111"/>
  <c r="C109"/>
  <c r="C108"/>
  <c r="C107"/>
  <c r="I101"/>
  <c r="G101"/>
  <c r="E101"/>
  <c r="C101"/>
  <c r="AA44" i="3"/>
  <c r="AA43"/>
  <c r="AA41"/>
  <c r="AA40"/>
  <c r="AA39"/>
  <c r="AA35"/>
  <c r="AA34"/>
  <c r="AA33"/>
  <c r="AA32"/>
  <c r="AC54" i="18" l="1"/>
  <c r="AH30" i="16"/>
  <c r="AJ30" s="1"/>
  <c r="AJ27"/>
  <c r="G20" i="9"/>
  <c r="AI24" i="18"/>
  <c r="AI20" i="22"/>
  <c r="AG25"/>
  <c r="AI25" s="1"/>
  <c r="K23" i="13"/>
  <c r="I23" i="10"/>
  <c r="K23" i="11"/>
  <c r="I23"/>
  <c r="AE56" i="16"/>
  <c r="AM37" i="20"/>
  <c r="AI52" i="18"/>
  <c r="I23" i="13"/>
  <c r="K21" i="11"/>
  <c r="G21" i="10"/>
  <c r="I22"/>
  <c r="K22"/>
  <c r="T33" i="11"/>
  <c r="C33" i="10"/>
  <c r="C37" i="13"/>
  <c r="C40" s="1"/>
  <c r="C41" i="7"/>
  <c r="I23" i="9"/>
  <c r="K23"/>
  <c r="I21"/>
  <c r="K21"/>
  <c r="K22"/>
  <c r="I22"/>
  <c r="AH54" i="17"/>
  <c r="AJ54" s="1"/>
  <c r="AJ51"/>
  <c r="K22" i="12"/>
  <c r="I22"/>
  <c r="G23" i="7"/>
  <c r="I21" i="12"/>
  <c r="K21"/>
  <c r="I56" i="16"/>
  <c r="I21" i="11"/>
  <c r="K22"/>
  <c r="I22"/>
  <c r="AH41" i="16"/>
  <c r="AJ41" s="1"/>
  <c r="AB46"/>
  <c r="AB56" s="1"/>
  <c r="AH39"/>
  <c r="AJ39" s="1"/>
  <c r="AH54"/>
  <c r="AJ54" s="1"/>
  <c r="AI40" i="19"/>
  <c r="AK40" s="1"/>
  <c r="AC40"/>
  <c r="G103" i="17"/>
  <c r="E103"/>
  <c r="I103"/>
  <c r="AI28" i="18" l="1"/>
  <c r="AI54" s="1"/>
  <c r="AK24"/>
  <c r="I21" i="10"/>
  <c r="K21"/>
  <c r="C33" i="7"/>
  <c r="C35" i="10"/>
  <c r="C39" s="1"/>
  <c r="C42" s="1"/>
  <c r="I20" i="9"/>
  <c r="K20"/>
  <c r="I20" i="12"/>
  <c r="K20"/>
  <c r="G20" i="7"/>
  <c r="I23"/>
  <c r="K23"/>
  <c r="AH46" i="16"/>
  <c r="AJ46" s="1"/>
  <c r="AK112" i="20"/>
  <c r="AM112" s="1"/>
  <c r="J52" i="3"/>
  <c r="AM39" i="20"/>
  <c r="AK28" i="18" l="1"/>
  <c r="I20" i="7"/>
  <c r="K20"/>
  <c r="AH56" i="16"/>
  <c r="AJ56" s="1"/>
  <c r="K34" i="11"/>
  <c r="I34"/>
  <c r="AA31" i="3"/>
  <c r="AA29"/>
  <c r="AA28"/>
  <c r="AA27"/>
  <c r="AA22"/>
  <c r="AH98" i="17"/>
  <c r="AJ98" s="1"/>
  <c r="AH96"/>
  <c r="AJ96" s="1"/>
  <c r="AH95"/>
  <c r="AJ95" s="1"/>
  <c r="AH94"/>
  <c r="AJ94" s="1"/>
  <c r="AH93"/>
  <c r="AJ93" s="1"/>
  <c r="AH92"/>
  <c r="AJ92" s="1"/>
  <c r="AH91"/>
  <c r="AJ91" s="1"/>
  <c r="AH90"/>
  <c r="AJ90" s="1"/>
  <c r="AH86"/>
  <c r="AJ86" s="1"/>
  <c r="AH85"/>
  <c r="AJ85" s="1"/>
  <c r="AH83"/>
  <c r="AJ83" s="1"/>
  <c r="AH82"/>
  <c r="AJ82" s="1"/>
  <c r="AH79"/>
  <c r="AJ79" s="1"/>
  <c r="AH78"/>
  <c r="AJ78" s="1"/>
  <c r="AH77"/>
  <c r="AJ77" s="1"/>
  <c r="AH76"/>
  <c r="AJ76" s="1"/>
  <c r="AH74"/>
  <c r="AJ74" s="1"/>
  <c r="AH73"/>
  <c r="AJ73" s="1"/>
  <c r="AH72"/>
  <c r="AJ72" s="1"/>
  <c r="AH71"/>
  <c r="AJ71" s="1"/>
  <c r="AH70"/>
  <c r="AJ70" s="1"/>
  <c r="AH69"/>
  <c r="AJ69" s="1"/>
  <c r="AH68"/>
  <c r="AJ68" s="1"/>
  <c r="AH64"/>
  <c r="AJ64" s="1"/>
  <c r="AH63"/>
  <c r="AJ63" s="1"/>
  <c r="AH61"/>
  <c r="AJ61" s="1"/>
  <c r="AH60"/>
  <c r="AJ60" l="1"/>
  <c r="AK51" i="21"/>
  <c r="AM51" s="1"/>
  <c r="AK50"/>
  <c r="AK49"/>
  <c r="AM49" s="1"/>
  <c r="AK48"/>
  <c r="AK47"/>
  <c r="AK46"/>
  <c r="AM46" s="1"/>
  <c r="AK45"/>
  <c r="AK44"/>
  <c r="AK43"/>
  <c r="AK42"/>
  <c r="AK41"/>
  <c r="AM41" s="1"/>
  <c r="AK39"/>
  <c r="AK38"/>
  <c r="AK37"/>
  <c r="AK36"/>
  <c r="AK35"/>
  <c r="AK34"/>
  <c r="AK32"/>
  <c r="AM32" s="1"/>
  <c r="AK30"/>
  <c r="AK29"/>
  <c r="AK28"/>
  <c r="AK27"/>
  <c r="AK26"/>
  <c r="AK24"/>
  <c r="AK23"/>
  <c r="AK22"/>
  <c r="AK21"/>
  <c r="AM21" s="1"/>
  <c r="AK79" i="20"/>
  <c r="AM79" s="1"/>
  <c r="AK78"/>
  <c r="AM78" s="1"/>
  <c r="AK77"/>
  <c r="AM77" s="1"/>
  <c r="AK76"/>
  <c r="AM76" s="1"/>
  <c r="AK75"/>
  <c r="AM75" s="1"/>
  <c r="AK74"/>
  <c r="AM74" s="1"/>
  <c r="AK73"/>
  <c r="AM73" s="1"/>
  <c r="AK72"/>
  <c r="AK71"/>
  <c r="AM71" s="1"/>
  <c r="AK70"/>
  <c r="AM70" s="1"/>
  <c r="AK67"/>
  <c r="AM67" s="1"/>
  <c r="AK66"/>
  <c r="AM66" s="1"/>
  <c r="AK65"/>
  <c r="AM65" s="1"/>
  <c r="AK64"/>
  <c r="AM64" s="1"/>
  <c r="AK62"/>
  <c r="AK60"/>
  <c r="AM60" s="1"/>
  <c r="AK59"/>
  <c r="AM59" s="1"/>
  <c r="AK58"/>
  <c r="AM58" s="1"/>
  <c r="AK57"/>
  <c r="AM57" s="1"/>
  <c r="AK55"/>
  <c r="AM55" s="1"/>
  <c r="AK54"/>
  <c r="AM54" s="1"/>
  <c r="AK53"/>
  <c r="AM53" s="1"/>
  <c r="AK52"/>
  <c r="AM52" s="1"/>
  <c r="AK51"/>
  <c r="AM51" s="1"/>
  <c r="AK50"/>
  <c r="AM50" s="1"/>
  <c r="AK48"/>
  <c r="AM48" s="1"/>
  <c r="AK47"/>
  <c r="AM47" s="1"/>
  <c r="AK46"/>
  <c r="AM46" s="1"/>
  <c r="AK45"/>
  <c r="AM45" s="1"/>
  <c r="AK43"/>
  <c r="AM43" s="1"/>
  <c r="G133" i="16"/>
  <c r="G134"/>
  <c r="E134"/>
  <c r="C134"/>
  <c r="I134"/>
  <c r="I133"/>
  <c r="K88" i="23"/>
  <c r="K80"/>
  <c r="K74"/>
  <c r="K73"/>
  <c r="K72"/>
  <c r="K71"/>
  <c r="K70"/>
  <c r="K69"/>
  <c r="K67"/>
  <c r="K66"/>
  <c r="K65"/>
  <c r="K59"/>
  <c r="J115" i="19"/>
  <c r="J104"/>
  <c r="J103"/>
  <c r="J102"/>
  <c r="J101"/>
  <c r="J98"/>
  <c r="J97"/>
  <c r="J96"/>
  <c r="J95"/>
  <c r="J94"/>
  <c r="J93"/>
  <c r="J91"/>
  <c r="J90"/>
  <c r="J89"/>
  <c r="J83"/>
  <c r="I101" i="16" l="1"/>
  <c r="AK84" i="21"/>
  <c r="AM84" s="1"/>
  <c r="R34" i="11"/>
  <c r="AE52" i="21"/>
  <c r="AE56" s="1"/>
  <c r="AK19"/>
  <c r="K61" i="23"/>
  <c r="G99" i="16"/>
  <c r="E99"/>
  <c r="I108"/>
  <c r="I113"/>
  <c r="I124"/>
  <c r="AK69" i="20"/>
  <c r="AM69" s="1"/>
  <c r="AE80"/>
  <c r="J81" i="19"/>
  <c r="J85" s="1"/>
  <c r="I109" i="16"/>
  <c r="I114"/>
  <c r="I121"/>
  <c r="I120"/>
  <c r="I119"/>
  <c r="I107"/>
  <c r="I112"/>
  <c r="I116"/>
  <c r="I111"/>
  <c r="I115"/>
  <c r="AB79"/>
  <c r="AB71"/>
  <c r="AB91"/>
  <c r="AB95"/>
  <c r="AH63"/>
  <c r="AJ63" s="1"/>
  <c r="AB72"/>
  <c r="AB83"/>
  <c r="AB92"/>
  <c r="AB77"/>
  <c r="AB76"/>
  <c r="AB61"/>
  <c r="AB93"/>
  <c r="AB96"/>
  <c r="AB68"/>
  <c r="AB64"/>
  <c r="AB70"/>
  <c r="AB86"/>
  <c r="AB74"/>
  <c r="AB78"/>
  <c r="AB82"/>
  <c r="AB90"/>
  <c r="AB94"/>
  <c r="AB98"/>
  <c r="AB69"/>
  <c r="AB73"/>
  <c r="AB85"/>
  <c r="J99" i="19"/>
  <c r="J106" s="1"/>
  <c r="AH68" i="16" l="1"/>
  <c r="AJ68" s="1"/>
  <c r="AH91"/>
  <c r="AJ91" s="1"/>
  <c r="AH64"/>
  <c r="AJ64" s="1"/>
  <c r="AH98"/>
  <c r="AJ98" s="1"/>
  <c r="AH93"/>
  <c r="AJ93" s="1"/>
  <c r="AH92"/>
  <c r="AJ92" s="1"/>
  <c r="AH78"/>
  <c r="AJ78" s="1"/>
  <c r="AH77"/>
  <c r="AJ77" s="1"/>
  <c r="AH76"/>
  <c r="AJ76" s="1"/>
  <c r="AH94"/>
  <c r="AJ94" s="1"/>
  <c r="AH72"/>
  <c r="AJ72" s="1"/>
  <c r="AH61"/>
  <c r="AJ61" s="1"/>
  <c r="AH73"/>
  <c r="AJ73" s="1"/>
  <c r="AH90"/>
  <c r="AJ90" s="1"/>
  <c r="AH86"/>
  <c r="AJ86" s="1"/>
  <c r="AH96"/>
  <c r="AJ96" s="1"/>
  <c r="AH79"/>
  <c r="AJ79" s="1"/>
  <c r="AH85"/>
  <c r="AJ85" s="1"/>
  <c r="AH74"/>
  <c r="AJ74" s="1"/>
  <c r="AH71"/>
  <c r="AJ71" s="1"/>
  <c r="AH83"/>
  <c r="AJ83" s="1"/>
  <c r="AH69"/>
  <c r="AJ69" s="1"/>
  <c r="AH82"/>
  <c r="AJ82" s="1"/>
  <c r="AH70"/>
  <c r="AJ70" s="1"/>
  <c r="AH95"/>
  <c r="AJ95" s="1"/>
  <c r="AM52" i="21"/>
  <c r="R24" i="11"/>
  <c r="AK52" i="21"/>
  <c r="G24" i="11"/>
  <c r="J21" i="3"/>
  <c r="AK80" i="20"/>
  <c r="AB60" i="16"/>
  <c r="I99"/>
  <c r="J109" i="19"/>
  <c r="J119" s="1"/>
  <c r="G24" i="10" l="1"/>
  <c r="T24" i="11"/>
  <c r="V24"/>
  <c r="K24"/>
  <c r="I24"/>
  <c r="AM80" i="20"/>
  <c r="AH60" i="16"/>
  <c r="AJ60" s="1"/>
  <c r="X44" i="22"/>
  <c r="V44"/>
  <c r="T44"/>
  <c r="R44"/>
  <c r="P44"/>
  <c r="N44"/>
  <c r="L44"/>
  <c r="AE47" i="26"/>
  <c r="AJ47" s="1"/>
  <c r="AL89" i="24"/>
  <c r="AN89" s="1"/>
  <c r="K24" i="10" l="1"/>
  <c r="J44" i="22"/>
  <c r="I24" i="10"/>
  <c r="AA21" i="3"/>
  <c r="AD44" i="22"/>
  <c r="H44"/>
  <c r="G32" i="14"/>
  <c r="Q32"/>
  <c r="I32" l="1"/>
  <c r="K32"/>
  <c r="O23" i="26"/>
  <c r="AA14" i="27"/>
  <c r="H44" i="5" s="1"/>
  <c r="AA17" i="27"/>
  <c r="AD19"/>
  <c r="AA25"/>
  <c r="AA26"/>
  <c r="AA27"/>
  <c r="AD29"/>
  <c r="AA39"/>
  <c r="AA40"/>
  <c r="AD42"/>
  <c r="AD33" i="28"/>
  <c r="AA32"/>
  <c r="AG32" s="1"/>
  <c r="AI32" s="1"/>
  <c r="AA31"/>
  <c r="AG31" s="1"/>
  <c r="AI31" s="1"/>
  <c r="AD25"/>
  <c r="AA24"/>
  <c r="AG24" s="1"/>
  <c r="AI24" s="1"/>
  <c r="AA23"/>
  <c r="AG23" s="1"/>
  <c r="AI23" s="1"/>
  <c r="AA22"/>
  <c r="AG22" s="1"/>
  <c r="AI22" s="1"/>
  <c r="AD17"/>
  <c r="AA16"/>
  <c r="AA13"/>
  <c r="AB16" i="26"/>
  <c r="AB19"/>
  <c r="AB20"/>
  <c r="AB21"/>
  <c r="AE23"/>
  <c r="AB29"/>
  <c r="AB30"/>
  <c r="D26" i="5" s="1"/>
  <c r="AB31" i="26"/>
  <c r="AB32"/>
  <c r="AE34"/>
  <c r="AB44"/>
  <c r="AB45"/>
  <c r="D36" i="5" s="1"/>
  <c r="A39" i="14"/>
  <c r="A38" i="12"/>
  <c r="A49" i="8"/>
  <c r="A48"/>
  <c r="E41"/>
  <c r="C41"/>
  <c r="E40"/>
  <c r="C40"/>
  <c r="E33"/>
  <c r="E32"/>
  <c r="E31"/>
  <c r="E30"/>
  <c r="E29"/>
  <c r="C33"/>
  <c r="C32"/>
  <c r="C31"/>
  <c r="C30"/>
  <c r="C29"/>
  <c r="E25"/>
  <c r="C25"/>
  <c r="E24"/>
  <c r="C24"/>
  <c r="E23"/>
  <c r="E22"/>
  <c r="E20"/>
  <c r="C23"/>
  <c r="C21"/>
  <c r="C22"/>
  <c r="C20"/>
  <c r="C43" i="9"/>
  <c r="C31"/>
  <c r="C32" i="12"/>
  <c r="AH16" i="26" l="1"/>
  <c r="AJ16" s="1"/>
  <c r="D44" i="5"/>
  <c r="L44" s="1"/>
  <c r="S44" s="1"/>
  <c r="U44" s="1"/>
  <c r="D35"/>
  <c r="D37" s="1"/>
  <c r="AB47" i="26"/>
  <c r="AG14" i="27"/>
  <c r="AI14" s="1"/>
  <c r="AH45" i="26"/>
  <c r="AH32"/>
  <c r="AJ32" s="1"/>
  <c r="D28" i="5"/>
  <c r="L28" s="1"/>
  <c r="S28" s="1"/>
  <c r="U28" s="1"/>
  <c r="AH31" i="26"/>
  <c r="AJ31" s="1"/>
  <c r="D27" i="5"/>
  <c r="AH30" i="26"/>
  <c r="AJ30" s="1"/>
  <c r="AH29"/>
  <c r="D25" i="5"/>
  <c r="AH21" i="26"/>
  <c r="AJ21" s="1"/>
  <c r="D20" i="5"/>
  <c r="L20" s="1"/>
  <c r="S20" s="1"/>
  <c r="U20" s="1"/>
  <c r="AH20" i="26"/>
  <c r="AJ20" s="1"/>
  <c r="D19" i="5"/>
  <c r="L19" s="1"/>
  <c r="S19" s="1"/>
  <c r="U19" s="1"/>
  <c r="AH19" i="26"/>
  <c r="D18" i="5"/>
  <c r="C26" i="8"/>
  <c r="E26"/>
  <c r="AG40" i="27"/>
  <c r="AI40" s="1"/>
  <c r="H36" i="5"/>
  <c r="L36" s="1"/>
  <c r="S36" s="1"/>
  <c r="U36" s="1"/>
  <c r="AG39" i="27"/>
  <c r="AI39" s="1"/>
  <c r="H35" i="5"/>
  <c r="AG27" i="27"/>
  <c r="AI27" s="1"/>
  <c r="H27" i="5"/>
  <c r="AG26" i="27"/>
  <c r="AI26" s="1"/>
  <c r="H26" i="5"/>
  <c r="L26" s="1"/>
  <c r="S26" s="1"/>
  <c r="U26" s="1"/>
  <c r="AG25" i="27"/>
  <c r="AI25" s="1"/>
  <c r="H25" i="5"/>
  <c r="AA19" i="27"/>
  <c r="H18" i="5"/>
  <c r="AE39" i="26"/>
  <c r="AE53" s="1"/>
  <c r="AE55" s="1"/>
  <c r="AH44"/>
  <c r="E42" i="8"/>
  <c r="C42"/>
  <c r="AA17" i="28"/>
  <c r="AG16"/>
  <c r="AI16" s="1"/>
  <c r="AD28"/>
  <c r="AD37" s="1"/>
  <c r="AD38" s="1"/>
  <c r="AG33"/>
  <c r="AI33" s="1"/>
  <c r="AJ19" i="26"/>
  <c r="AD34" i="27"/>
  <c r="AD48" s="1"/>
  <c r="AD50" s="1"/>
  <c r="AA33" i="28"/>
  <c r="AA42" i="27"/>
  <c r="AG17"/>
  <c r="AB23" i="26"/>
  <c r="AB34"/>
  <c r="AA29" i="27"/>
  <c r="AG25" i="28"/>
  <c r="AI25" s="1"/>
  <c r="AA25"/>
  <c r="AG13"/>
  <c r="AI13" s="1"/>
  <c r="C34" i="8"/>
  <c r="C47" i="9"/>
  <c r="C50" s="1"/>
  <c r="N27" i="11"/>
  <c r="N35"/>
  <c r="C27"/>
  <c r="C35"/>
  <c r="C36" i="12"/>
  <c r="C39" s="1"/>
  <c r="AJ44" i="26" l="1"/>
  <c r="AH47"/>
  <c r="D29" i="5"/>
  <c r="L27"/>
  <c r="S27" s="1"/>
  <c r="U27" s="1"/>
  <c r="AH34" i="26"/>
  <c r="AJ34" s="1"/>
  <c r="AJ29"/>
  <c r="AH23"/>
  <c r="D21" i="5"/>
  <c r="AA28" i="28"/>
  <c r="AA37" s="1"/>
  <c r="AA38" s="1"/>
  <c r="AG38" s="1"/>
  <c r="AI38" s="1"/>
  <c r="AG17"/>
  <c r="AG28" s="1"/>
  <c r="AI28" s="1"/>
  <c r="H37" i="5"/>
  <c r="L35"/>
  <c r="AG42" i="27"/>
  <c r="AI42" s="1"/>
  <c r="H29" i="5"/>
  <c r="L25"/>
  <c r="AG29" i="27"/>
  <c r="AI29" s="1"/>
  <c r="H21" i="5"/>
  <c r="L18"/>
  <c r="AA34" i="27"/>
  <c r="AA48" s="1"/>
  <c r="AA50" s="1"/>
  <c r="AG50" s="1"/>
  <c r="AI50" s="1"/>
  <c r="AI17"/>
  <c r="AG19"/>
  <c r="AB39" i="26"/>
  <c r="C46" i="8"/>
  <c r="C49" s="1"/>
  <c r="C37"/>
  <c r="N39" i="11"/>
  <c r="N42" s="1"/>
  <c r="C39"/>
  <c r="C42" s="1"/>
  <c r="M37" i="14"/>
  <c r="M40" s="1"/>
  <c r="D32" i="5" l="1"/>
  <c r="D42" s="1"/>
  <c r="D45" s="1"/>
  <c r="AH39" i="26"/>
  <c r="AJ39" s="1"/>
  <c r="AJ23"/>
  <c r="AI17" i="28"/>
  <c r="L37" i="5"/>
  <c r="S35"/>
  <c r="S25"/>
  <c r="L29"/>
  <c r="H32"/>
  <c r="H42" s="1"/>
  <c r="H45" s="1"/>
  <c r="L21"/>
  <c r="S18"/>
  <c r="AG37" i="28"/>
  <c r="AI37" s="1"/>
  <c r="AG34" i="27"/>
  <c r="AI34" s="1"/>
  <c r="AI19"/>
  <c r="AB53" i="26"/>
  <c r="AB55" s="1"/>
  <c r="AH55" s="1"/>
  <c r="AJ55" s="1"/>
  <c r="A6" i="14"/>
  <c r="A6" i="12"/>
  <c r="A6" i="11"/>
  <c r="A6" i="9"/>
  <c r="A6" i="8"/>
  <c r="AD56" i="23"/>
  <c r="AJ56" s="1"/>
  <c r="AL56" s="1"/>
  <c r="AD55"/>
  <c r="AD54"/>
  <c r="AD53"/>
  <c r="AD52"/>
  <c r="AJ52" s="1"/>
  <c r="AL52" s="1"/>
  <c r="AD50"/>
  <c r="AD49"/>
  <c r="AD48"/>
  <c r="AJ48" s="1"/>
  <c r="AL48" s="1"/>
  <c r="AD47"/>
  <c r="AJ47" s="1"/>
  <c r="AL47" s="1"/>
  <c r="AD45"/>
  <c r="AD44"/>
  <c r="AD43"/>
  <c r="AD42"/>
  <c r="AD41"/>
  <c r="AD39"/>
  <c r="AD37"/>
  <c r="AA39" i="22"/>
  <c r="AG39" s="1"/>
  <c r="AI39" s="1"/>
  <c r="AA37"/>
  <c r="AG37" s="1"/>
  <c r="AI37" s="1"/>
  <c r="AA36"/>
  <c r="AG36" s="1"/>
  <c r="AI36" s="1"/>
  <c r="AA35"/>
  <c r="AJ39" i="23" l="1"/>
  <c r="AL39" s="1"/>
  <c r="AJ54"/>
  <c r="AL54" s="1"/>
  <c r="AJ53"/>
  <c r="AJ42"/>
  <c r="AL42" s="1"/>
  <c r="AJ49"/>
  <c r="AL49" s="1"/>
  <c r="AJ41"/>
  <c r="AL41" s="1"/>
  <c r="AJ45"/>
  <c r="AL45" s="1"/>
  <c r="AJ50"/>
  <c r="AL50" s="1"/>
  <c r="AJ55"/>
  <c r="AL55" s="1"/>
  <c r="AJ44"/>
  <c r="AL44" s="1"/>
  <c r="AJ43"/>
  <c r="AL43" s="1"/>
  <c r="AH53" i="26"/>
  <c r="AJ53" s="1"/>
  <c r="U35" i="5"/>
  <c r="S37"/>
  <c r="U37" s="1"/>
  <c r="U25"/>
  <c r="S29"/>
  <c r="U29" s="1"/>
  <c r="L32"/>
  <c r="L42" s="1"/>
  <c r="L45" s="1"/>
  <c r="S21"/>
  <c r="U18"/>
  <c r="AA40" i="22"/>
  <c r="AG35"/>
  <c r="AG40" s="1"/>
  <c r="AJ37" i="23"/>
  <c r="AD57"/>
  <c r="AG48" i="27"/>
  <c r="AI48" s="1"/>
  <c r="C33" i="14"/>
  <c r="F44" i="22"/>
  <c r="D44"/>
  <c r="D81" i="19"/>
  <c r="E32" i="12"/>
  <c r="S32" i="5" l="1"/>
  <c r="U21"/>
  <c r="AI35" i="22"/>
  <c r="AI40"/>
  <c r="AL37" i="23"/>
  <c r="AJ57"/>
  <c r="C37" i="14"/>
  <c r="C40" s="1"/>
  <c r="E36" i="12"/>
  <c r="E39" s="1"/>
  <c r="S42" i="5" l="1"/>
  <c r="U32"/>
  <c r="AB12" i="17"/>
  <c r="U42" i="5" l="1"/>
  <c r="S45"/>
  <c r="U45" s="1"/>
  <c r="Q26" i="14"/>
  <c r="U26" l="1"/>
  <c r="S26"/>
  <c r="N44" i="3"/>
  <c r="L44"/>
  <c r="N41"/>
  <c r="L41"/>
  <c r="N39"/>
  <c r="L39"/>
  <c r="N36"/>
  <c r="L36"/>
  <c r="N35"/>
  <c r="L35"/>
  <c r="N34"/>
  <c r="L34"/>
  <c r="N33"/>
  <c r="L33"/>
  <c r="N32"/>
  <c r="L32"/>
  <c r="N31"/>
  <c r="L31"/>
  <c r="N29"/>
  <c r="L29"/>
  <c r="N28"/>
  <c r="L28"/>
  <c r="N27"/>
  <c r="L27"/>
  <c r="N19"/>
  <c r="L19"/>
  <c r="T15"/>
  <c r="R15"/>
  <c r="N15"/>
  <c r="L15"/>
  <c r="J15"/>
  <c r="H15"/>
  <c r="T14"/>
  <c r="N14"/>
  <c r="J14"/>
  <c r="H37" l="1"/>
  <c r="H45" s="1"/>
  <c r="N37"/>
  <c r="L37"/>
  <c r="H23"/>
  <c r="R44"/>
  <c r="H53"/>
  <c r="E34" i="8"/>
  <c r="Y135" i="17"/>
  <c r="W135"/>
  <c r="U135"/>
  <c r="S135"/>
  <c r="Q135"/>
  <c r="O135"/>
  <c r="I135"/>
  <c r="G135"/>
  <c r="E135"/>
  <c r="AB133"/>
  <c r="AB132"/>
  <c r="C135"/>
  <c r="AB124"/>
  <c r="AH124" s="1"/>
  <c r="AJ124" s="1"/>
  <c r="AB123"/>
  <c r="AH123" s="1"/>
  <c r="AJ123" s="1"/>
  <c r="AB121"/>
  <c r="AH121" s="1"/>
  <c r="AJ121" s="1"/>
  <c r="AB120"/>
  <c r="AH120" s="1"/>
  <c r="AB119"/>
  <c r="AH119" s="1"/>
  <c r="Y117"/>
  <c r="Y126" s="1"/>
  <c r="W117"/>
  <c r="W126" s="1"/>
  <c r="U117"/>
  <c r="U126" s="1"/>
  <c r="S117"/>
  <c r="S126" s="1"/>
  <c r="Q117"/>
  <c r="Q126" s="1"/>
  <c r="O117"/>
  <c r="O126" s="1"/>
  <c r="I117"/>
  <c r="I126" s="1"/>
  <c r="G117"/>
  <c r="G126" s="1"/>
  <c r="E117"/>
  <c r="E126" s="1"/>
  <c r="AB116"/>
  <c r="AH116" s="1"/>
  <c r="AJ116" s="1"/>
  <c r="AB115"/>
  <c r="AH115" s="1"/>
  <c r="AJ115" s="1"/>
  <c r="AB114"/>
  <c r="AH114" s="1"/>
  <c r="AJ114" s="1"/>
  <c r="AB113"/>
  <c r="AH113" s="1"/>
  <c r="AJ113" s="1"/>
  <c r="AB112"/>
  <c r="AH112" s="1"/>
  <c r="AJ112" s="1"/>
  <c r="AB111"/>
  <c r="AH111" s="1"/>
  <c r="AJ111" s="1"/>
  <c r="AB109"/>
  <c r="AH109" s="1"/>
  <c r="AJ109" s="1"/>
  <c r="AB108"/>
  <c r="AH108" s="1"/>
  <c r="AJ108" s="1"/>
  <c r="C117"/>
  <c r="C126" s="1"/>
  <c r="AB107"/>
  <c r="AB101"/>
  <c r="AH101" s="1"/>
  <c r="AB16"/>
  <c r="AH16" s="1"/>
  <c r="AJ16" s="1"/>
  <c r="E43" i="9"/>
  <c r="E31"/>
  <c r="AH132" i="17" l="1"/>
  <c r="AB135"/>
  <c r="G25" i="13"/>
  <c r="I25" s="1"/>
  <c r="AJ120" i="17"/>
  <c r="AJ119"/>
  <c r="U25" i="14"/>
  <c r="C40" i="7" s="1"/>
  <c r="K40" s="1"/>
  <c r="S25" i="14"/>
  <c r="I25"/>
  <c r="K25"/>
  <c r="U21"/>
  <c r="S21"/>
  <c r="AJ101" i="17"/>
  <c r="I129"/>
  <c r="I139" s="1"/>
  <c r="Q129"/>
  <c r="Q139" s="1"/>
  <c r="Q141" s="1"/>
  <c r="AH133"/>
  <c r="AJ133" s="1"/>
  <c r="Y129"/>
  <c r="Y139" s="1"/>
  <c r="Y141" s="1"/>
  <c r="U129"/>
  <c r="U139" s="1"/>
  <c r="U141" s="1"/>
  <c r="E129"/>
  <c r="E139" s="1"/>
  <c r="S129"/>
  <c r="S139" s="1"/>
  <c r="S141" s="1"/>
  <c r="P27" i="11"/>
  <c r="E33" i="14"/>
  <c r="AA53" i="3"/>
  <c r="H48"/>
  <c r="H57" s="1"/>
  <c r="Y53"/>
  <c r="AA37"/>
  <c r="AA45" s="1"/>
  <c r="Y23"/>
  <c r="Y37"/>
  <c r="Y45" s="1"/>
  <c r="E37" i="8"/>
  <c r="P35" i="11"/>
  <c r="E35"/>
  <c r="E27"/>
  <c r="E47" i="9"/>
  <c r="E50" s="1"/>
  <c r="AE141" i="17"/>
  <c r="AB117"/>
  <c r="AB126" s="1"/>
  <c r="AH107"/>
  <c r="G129"/>
  <c r="G139" s="1"/>
  <c r="O129"/>
  <c r="O139" s="1"/>
  <c r="W129"/>
  <c r="W139" s="1"/>
  <c r="W141" s="1"/>
  <c r="AH135" l="1"/>
  <c r="AJ135" s="1"/>
  <c r="AJ132"/>
  <c r="K25" i="13"/>
  <c r="AH117" i="17"/>
  <c r="AH126" s="1"/>
  <c r="AJ126" s="1"/>
  <c r="E46" i="8"/>
  <c r="E49" s="1"/>
  <c r="AJ107" i="17"/>
  <c r="P39" i="11"/>
  <c r="P42" s="1"/>
  <c r="E37" i="14"/>
  <c r="E40" s="1"/>
  <c r="Y48" i="3"/>
  <c r="Y57" s="1"/>
  <c r="Y61" s="1"/>
  <c r="O37" i="14"/>
  <c r="O40" s="1"/>
  <c r="E39" i="11"/>
  <c r="E42" s="1"/>
  <c r="AJ117" i="17" l="1"/>
  <c r="AJ56"/>
  <c r="AC46" i="19" l="1"/>
  <c r="AI46" s="1"/>
  <c r="AK46" s="1"/>
  <c r="AC47"/>
  <c r="AI47" s="1"/>
  <c r="AK47" s="1"/>
  <c r="AC49"/>
  <c r="AI49" s="1"/>
  <c r="AK49" s="1"/>
  <c r="AC52"/>
  <c r="AI52" s="1"/>
  <c r="AK52" s="1"/>
  <c r="AC53"/>
  <c r="AI53" s="1"/>
  <c r="AK53" s="1"/>
  <c r="AC55"/>
  <c r="AI55" s="1"/>
  <c r="AK55" s="1"/>
  <c r="AC59"/>
  <c r="AI59" s="1"/>
  <c r="AK59" s="1"/>
  <c r="AC64"/>
  <c r="AI64" s="1"/>
  <c r="AK64" s="1"/>
  <c r="AC66"/>
  <c r="AI66" s="1"/>
  <c r="AK66" s="1"/>
  <c r="AC67"/>
  <c r="AI67" s="1"/>
  <c r="AK67" s="1"/>
  <c r="AC68"/>
  <c r="AI68" s="1"/>
  <c r="AK68" s="1"/>
  <c r="AC71"/>
  <c r="AI71" s="1"/>
  <c r="AK71" s="1"/>
  <c r="AC73"/>
  <c r="AI73" s="1"/>
  <c r="AC74"/>
  <c r="AI74" s="1"/>
  <c r="AK74" s="1"/>
  <c r="AC75"/>
  <c r="AI75" s="1"/>
  <c r="AK75" s="1"/>
  <c r="AC77"/>
  <c r="AI77" s="1"/>
  <c r="AK77" s="1"/>
  <c r="AC80"/>
  <c r="AI80" s="1"/>
  <c r="AK80" s="1"/>
  <c r="AC79"/>
  <c r="AI79" s="1"/>
  <c r="AK79" s="1"/>
  <c r="AC60"/>
  <c r="AI60" s="1"/>
  <c r="AK60" s="1"/>
  <c r="AC51"/>
  <c r="AI51" s="1"/>
  <c r="AK51" s="1"/>
  <c r="AC63"/>
  <c r="AI63" s="1"/>
  <c r="AC58"/>
  <c r="AI58" s="1"/>
  <c r="AK58" s="1"/>
  <c r="AC86" i="18"/>
  <c r="AI86" s="1"/>
  <c r="AK86" s="1"/>
  <c r="AC85"/>
  <c r="AC84"/>
  <c r="AI84" s="1"/>
  <c r="AK84" s="1"/>
  <c r="AC83"/>
  <c r="AC82"/>
  <c r="AC79"/>
  <c r="AC78"/>
  <c r="AI78" s="1"/>
  <c r="AK78" s="1"/>
  <c r="AC76"/>
  <c r="AC75"/>
  <c r="AC73"/>
  <c r="AI73" s="1"/>
  <c r="AK73" s="1"/>
  <c r="AC72"/>
  <c r="AC71"/>
  <c r="AC70"/>
  <c r="AC69"/>
  <c r="AC68"/>
  <c r="AC67"/>
  <c r="AC66"/>
  <c r="AC62"/>
  <c r="AI62" s="1"/>
  <c r="AK62" s="1"/>
  <c r="AC61"/>
  <c r="AI61" s="1"/>
  <c r="AK61" s="1"/>
  <c r="AC59"/>
  <c r="AC58"/>
  <c r="D21" i="3"/>
  <c r="C88" i="17" l="1"/>
  <c r="AB88" s="1"/>
  <c r="AH88" s="1"/>
  <c r="AJ88" s="1"/>
  <c r="C88" i="16"/>
  <c r="AB88" s="1"/>
  <c r="C84" i="17"/>
  <c r="C84" i="16"/>
  <c r="AB84" s="1"/>
  <c r="C65" i="17"/>
  <c r="AB65" s="1"/>
  <c r="C65" i="16"/>
  <c r="C97" i="17"/>
  <c r="C97" i="16"/>
  <c r="AB97" s="1"/>
  <c r="C66" i="17"/>
  <c r="AB66" s="1"/>
  <c r="AH66" s="1"/>
  <c r="AJ66" s="1"/>
  <c r="C66" i="16"/>
  <c r="AB66" s="1"/>
  <c r="AB84" i="17"/>
  <c r="AH84" s="1"/>
  <c r="AJ84" s="1"/>
  <c r="AB81"/>
  <c r="AH81" s="1"/>
  <c r="AB89"/>
  <c r="AH89" s="1"/>
  <c r="AJ89" s="1"/>
  <c r="AC64" i="18"/>
  <c r="AI64" s="1"/>
  <c r="AK64" s="1"/>
  <c r="AC63"/>
  <c r="AI63" s="1"/>
  <c r="AK63" s="1"/>
  <c r="AC77"/>
  <c r="AI77" s="1"/>
  <c r="AK77" s="1"/>
  <c r="AB89" i="16"/>
  <c r="AC81" i="18"/>
  <c r="AI81" s="1"/>
  <c r="AK81" s="1"/>
  <c r="AB81" i="16"/>
  <c r="AC87" i="18"/>
  <c r="AI87" s="1"/>
  <c r="AK87" s="1"/>
  <c r="AC78" i="19"/>
  <c r="AI78" s="1"/>
  <c r="AK78" s="1"/>
  <c r="AC76"/>
  <c r="AI76" s="1"/>
  <c r="AK76" s="1"/>
  <c r="AC72"/>
  <c r="AI72" s="1"/>
  <c r="AK72" s="1"/>
  <c r="AC70"/>
  <c r="AI70" s="1"/>
  <c r="AK70" s="1"/>
  <c r="AC65"/>
  <c r="AI65" s="1"/>
  <c r="AK65" s="1"/>
  <c r="AC61"/>
  <c r="AI61" s="1"/>
  <c r="AK61" s="1"/>
  <c r="AC56"/>
  <c r="AI56" s="1"/>
  <c r="AK56" s="1"/>
  <c r="AC54"/>
  <c r="AI54" s="1"/>
  <c r="AK54" s="1"/>
  <c r="AC48"/>
  <c r="AI48" s="1"/>
  <c r="AK48" s="1"/>
  <c r="AC44"/>
  <c r="AI85" i="18"/>
  <c r="AK85" s="1"/>
  <c r="AI83"/>
  <c r="AK83" s="1"/>
  <c r="AI82"/>
  <c r="AK82" s="1"/>
  <c r="AI79"/>
  <c r="AK79" s="1"/>
  <c r="AI76"/>
  <c r="AK76" s="1"/>
  <c r="AI75"/>
  <c r="AK75" s="1"/>
  <c r="AI72"/>
  <c r="AK72" s="1"/>
  <c r="AI71"/>
  <c r="AK71" s="1"/>
  <c r="AI70"/>
  <c r="AI69"/>
  <c r="AK69" s="1"/>
  <c r="AI68"/>
  <c r="AK68" s="1"/>
  <c r="AI67"/>
  <c r="AK67" s="1"/>
  <c r="AI66"/>
  <c r="AK66" s="1"/>
  <c r="AI59"/>
  <c r="AK59" s="1"/>
  <c r="AI58"/>
  <c r="AK58" s="1"/>
  <c r="D88"/>
  <c r="D92" s="1"/>
  <c r="G26" i="14"/>
  <c r="AH66" i="16" l="1"/>
  <c r="AJ66" s="1"/>
  <c r="AH97"/>
  <c r="AJ97" s="1"/>
  <c r="AH89"/>
  <c r="AJ89" s="1"/>
  <c r="AH88"/>
  <c r="AJ88" s="1"/>
  <c r="AH81"/>
  <c r="AJ81" s="1"/>
  <c r="AH84"/>
  <c r="AJ84" s="1"/>
  <c r="AC81" i="19"/>
  <c r="C99" i="17"/>
  <c r="C103" s="1"/>
  <c r="AB97"/>
  <c r="AH97" s="1"/>
  <c r="AJ97" s="1"/>
  <c r="AH65"/>
  <c r="AJ65" s="1"/>
  <c r="AB65" i="16"/>
  <c r="C99"/>
  <c r="AI44" i="19"/>
  <c r="AK44" s="1"/>
  <c r="AI88" i="18"/>
  <c r="AK88" s="1"/>
  <c r="AC88"/>
  <c r="G24" i="9" s="1"/>
  <c r="K24" l="1"/>
  <c r="I24"/>
  <c r="AB99" i="17"/>
  <c r="AB103" s="1"/>
  <c r="AH99"/>
  <c r="AH65" i="16"/>
  <c r="AJ65" s="1"/>
  <c r="AB99"/>
  <c r="AI81" i="19"/>
  <c r="C129" i="17"/>
  <c r="C139" s="1"/>
  <c r="C141" s="1"/>
  <c r="E16" s="1"/>
  <c r="E141" s="1"/>
  <c r="G16" s="1"/>
  <c r="G141" s="1"/>
  <c r="I16" s="1"/>
  <c r="I141" s="1"/>
  <c r="K16" s="1"/>
  <c r="K141" s="1"/>
  <c r="M16" s="1"/>
  <c r="M141" s="1"/>
  <c r="O16" s="1"/>
  <c r="O141" s="1"/>
  <c r="F18" i="2"/>
  <c r="AJ99" i="17" l="1"/>
  <c r="AH103"/>
  <c r="AJ103" s="1"/>
  <c r="AH99" i="16"/>
  <c r="AJ99" s="1"/>
  <c r="F21" i="3"/>
  <c r="AB129" i="17" l="1"/>
  <c r="AH129" l="1"/>
  <c r="AJ129" s="1"/>
  <c r="AB139"/>
  <c r="AB141" l="1"/>
  <c r="AH141" s="1"/>
  <c r="AJ141" s="1"/>
  <c r="AH139"/>
  <c r="AJ139" s="1"/>
  <c r="H104" i="19" l="1"/>
  <c r="H103"/>
  <c r="G121" i="16" s="1"/>
  <c r="H102" i="19"/>
  <c r="G120" i="16" s="1"/>
  <c r="H101" i="19"/>
  <c r="G119" i="16" s="1"/>
  <c r="H98" i="19"/>
  <c r="H97"/>
  <c r="H96"/>
  <c r="H95"/>
  <c r="H94"/>
  <c r="H93"/>
  <c r="H91"/>
  <c r="H90"/>
  <c r="H89"/>
  <c r="H83"/>
  <c r="I88" i="23"/>
  <c r="I80"/>
  <c r="J80"/>
  <c r="I66"/>
  <c r="I67"/>
  <c r="I69"/>
  <c r="I70"/>
  <c r="G112" i="16" s="1"/>
  <c r="I71" i="23"/>
  <c r="I72"/>
  <c r="G114" i="16" s="1"/>
  <c r="I73" i="23"/>
  <c r="I74"/>
  <c r="G116" i="16" s="1"/>
  <c r="I65" i="23"/>
  <c r="I59"/>
  <c r="I61" s="1"/>
  <c r="G109" i="16" l="1"/>
  <c r="H85" i="19"/>
  <c r="G101" i="16"/>
  <c r="G103" s="1"/>
  <c r="G124"/>
  <c r="G107"/>
  <c r="G113"/>
  <c r="G108"/>
  <c r="G115"/>
  <c r="G111"/>
  <c r="L52" i="3"/>
  <c r="L51"/>
  <c r="L43"/>
  <c r="R43" s="1"/>
  <c r="L40"/>
  <c r="L21"/>
  <c r="R21" s="1"/>
  <c r="L20"/>
  <c r="L18"/>
  <c r="L17"/>
  <c r="D52"/>
  <c r="D51"/>
  <c r="D41"/>
  <c r="R41" s="1"/>
  <c r="D40"/>
  <c r="D39"/>
  <c r="R39" s="1"/>
  <c r="D36"/>
  <c r="R36" s="1"/>
  <c r="D35"/>
  <c r="R35" s="1"/>
  <c r="D34"/>
  <c r="R34" s="1"/>
  <c r="D33"/>
  <c r="R33" s="1"/>
  <c r="D32"/>
  <c r="R32" s="1"/>
  <c r="D31"/>
  <c r="R31" s="1"/>
  <c r="D29"/>
  <c r="R29" s="1"/>
  <c r="D28"/>
  <c r="R28" s="1"/>
  <c r="D27"/>
  <c r="D22"/>
  <c r="D20"/>
  <c r="D19"/>
  <c r="R19" s="1"/>
  <c r="D18"/>
  <c r="D17"/>
  <c r="D37" l="1"/>
  <c r="D45" s="1"/>
  <c r="R27"/>
  <c r="R37" s="1"/>
  <c r="D53"/>
  <c r="R20"/>
  <c r="R52"/>
  <c r="D23"/>
  <c r="R18"/>
  <c r="R17"/>
  <c r="R40"/>
  <c r="L45"/>
  <c r="L53"/>
  <c r="R51"/>
  <c r="R45" l="1"/>
  <c r="D48"/>
  <c r="D57" s="1"/>
  <c r="R53"/>
  <c r="E148" i="30" l="1"/>
  <c r="G26" i="10" l="1"/>
  <c r="G88" i="23"/>
  <c r="G78"/>
  <c r="G79"/>
  <c r="G80"/>
  <c r="G77"/>
  <c r="G66"/>
  <c r="G67"/>
  <c r="G69"/>
  <c r="G70"/>
  <c r="G71"/>
  <c r="G72"/>
  <c r="G73"/>
  <c r="G74"/>
  <c r="G65"/>
  <c r="G59"/>
  <c r="G61" s="1"/>
  <c r="L22" i="3"/>
  <c r="AH98" i="20"/>
  <c r="AH105" s="1"/>
  <c r="I26" i="10" l="1"/>
  <c r="K26"/>
  <c r="I26" i="11"/>
  <c r="K26"/>
  <c r="K27" s="1"/>
  <c r="R22" i="3"/>
  <c r="R23" s="1"/>
  <c r="R48" s="1"/>
  <c r="R57" s="1"/>
  <c r="L23"/>
  <c r="L48" s="1"/>
  <c r="L57" s="1"/>
  <c r="F104" i="19"/>
  <c r="E124" i="16" s="1"/>
  <c r="F103" i="19"/>
  <c r="E121" i="16" s="1"/>
  <c r="F102" i="19"/>
  <c r="E120" i="16" s="1"/>
  <c r="F101" i="19"/>
  <c r="E119" i="16" s="1"/>
  <c r="F98" i="19"/>
  <c r="E116" i="16" s="1"/>
  <c r="F97" i="19"/>
  <c r="E115" i="16" s="1"/>
  <c r="F96" i="19"/>
  <c r="E114" i="16" s="1"/>
  <c r="F95" i="19"/>
  <c r="E113" i="16" s="1"/>
  <c r="F94" i="19"/>
  <c r="E112" i="16" s="1"/>
  <c r="F93" i="19"/>
  <c r="E111" i="16" s="1"/>
  <c r="F91" i="19"/>
  <c r="E109" i="16" s="1"/>
  <c r="F90" i="19"/>
  <c r="E108" i="16" s="1"/>
  <c r="F89" i="19"/>
  <c r="E107" i="16" s="1"/>
  <c r="F83" i="19"/>
  <c r="AC121" i="18"/>
  <c r="G30" i="9"/>
  <c r="AC96" i="18"/>
  <c r="AC97"/>
  <c r="AC98"/>
  <c r="AC100"/>
  <c r="AC101"/>
  <c r="AC102"/>
  <c r="AC103"/>
  <c r="AC104"/>
  <c r="AC105"/>
  <c r="AC108"/>
  <c r="F15" i="6"/>
  <c r="K30" i="9" l="1"/>
  <c r="I30"/>
  <c r="AI120" i="18"/>
  <c r="AK120" s="1"/>
  <c r="G28" i="9"/>
  <c r="AI121" i="18"/>
  <c r="AK121" s="1"/>
  <c r="G29" i="9"/>
  <c r="F85" i="19"/>
  <c r="E101" i="16"/>
  <c r="E103" s="1"/>
  <c r="AI122" i="18"/>
  <c r="AK122" s="1"/>
  <c r="I29" i="9" l="1"/>
  <c r="K29"/>
  <c r="K28"/>
  <c r="I28"/>
  <c r="AN78" i="24"/>
  <c r="AN77"/>
  <c r="AN76"/>
  <c r="AM83" i="21"/>
  <c r="AN69" i="25"/>
  <c r="AN60"/>
  <c r="AN59"/>
  <c r="AN58"/>
  <c r="AN54"/>
  <c r="AN53"/>
  <c r="AN52"/>
  <c r="AN50"/>
  <c r="X29" i="27"/>
  <c r="R32" i="11"/>
  <c r="J40" i="3"/>
  <c r="J36"/>
  <c r="J35"/>
  <c r="J34"/>
  <c r="J33"/>
  <c r="J32"/>
  <c r="J31"/>
  <c r="J29"/>
  <c r="J28"/>
  <c r="J27"/>
  <c r="R25" i="11" l="1"/>
  <c r="G25" i="10" s="1"/>
  <c r="AM54" i="21"/>
  <c r="AM56"/>
  <c r="V32" i="11"/>
  <c r="T32"/>
  <c r="J22" i="3"/>
  <c r="AE84" i="20"/>
  <c r="R31" i="11"/>
  <c r="J44" i="3"/>
  <c r="T44" s="1"/>
  <c r="G33" i="11"/>
  <c r="G33" i="10" s="1"/>
  <c r="J41" i="3"/>
  <c r="G32" i="11"/>
  <c r="G32" i="10" s="1"/>
  <c r="J39" i="3"/>
  <c r="G31" i="11"/>
  <c r="J37" i="3"/>
  <c r="G26" i="13"/>
  <c r="AL78" i="24"/>
  <c r="AL77"/>
  <c r="AL76"/>
  <c r="AL73"/>
  <c r="AN73" s="1"/>
  <c r="AL71"/>
  <c r="AN71" s="1"/>
  <c r="AL70"/>
  <c r="AL69"/>
  <c r="AN69" s="1"/>
  <c r="AL68"/>
  <c r="G24" i="14"/>
  <c r="AF27" i="24"/>
  <c r="AI72" i="25"/>
  <c r="AN72" s="1"/>
  <c r="AA72"/>
  <c r="Y72"/>
  <c r="W72"/>
  <c r="U72"/>
  <c r="S72"/>
  <c r="Q72"/>
  <c r="O72"/>
  <c r="M72"/>
  <c r="K72"/>
  <c r="I72"/>
  <c r="G72"/>
  <c r="E72"/>
  <c r="AI56"/>
  <c r="AA56"/>
  <c r="AA63" s="1"/>
  <c r="Y56"/>
  <c r="Y63" s="1"/>
  <c r="W56"/>
  <c r="W63" s="1"/>
  <c r="U56"/>
  <c r="U63" s="1"/>
  <c r="S56"/>
  <c r="S63" s="1"/>
  <c r="Q56"/>
  <c r="Q63" s="1"/>
  <c r="O56"/>
  <c r="O63" s="1"/>
  <c r="M56"/>
  <c r="M63" s="1"/>
  <c r="K56"/>
  <c r="K63" s="1"/>
  <c r="I56"/>
  <c r="I63" s="1"/>
  <c r="G56"/>
  <c r="G63" s="1"/>
  <c r="E56"/>
  <c r="E63" s="1"/>
  <c r="AL60"/>
  <c r="AL59"/>
  <c r="AL58"/>
  <c r="AN55"/>
  <c r="AL54"/>
  <c r="AL53"/>
  <c r="AL52"/>
  <c r="AL51"/>
  <c r="AN51" s="1"/>
  <c r="AL50"/>
  <c r="AL48"/>
  <c r="AL46"/>
  <c r="AF42"/>
  <c r="AI91" i="24"/>
  <c r="AA91"/>
  <c r="Y91"/>
  <c r="W91"/>
  <c r="U91"/>
  <c r="S91"/>
  <c r="Q91"/>
  <c r="O91"/>
  <c r="M91"/>
  <c r="K91"/>
  <c r="I91"/>
  <c r="G91"/>
  <c r="Y47" i="26"/>
  <c r="W47"/>
  <c r="U47"/>
  <c r="S47"/>
  <c r="Q47"/>
  <c r="O47"/>
  <c r="M47"/>
  <c r="K47"/>
  <c r="I47"/>
  <c r="G47"/>
  <c r="E47"/>
  <c r="C47"/>
  <c r="Y34"/>
  <c r="W34"/>
  <c r="U34"/>
  <c r="S34"/>
  <c r="Q34"/>
  <c r="O34"/>
  <c r="O39" s="1"/>
  <c r="O53" s="1"/>
  <c r="M34"/>
  <c r="K34"/>
  <c r="I34"/>
  <c r="G34"/>
  <c r="E34"/>
  <c r="C34"/>
  <c r="Y23"/>
  <c r="Y39" s="1"/>
  <c r="Y53" s="1"/>
  <c r="Y55" s="1"/>
  <c r="W23"/>
  <c r="W39" s="1"/>
  <c r="W53" s="1"/>
  <c r="W55" s="1"/>
  <c r="U23"/>
  <c r="U39" s="1"/>
  <c r="U53" s="1"/>
  <c r="U55" s="1"/>
  <c r="S23"/>
  <c r="S39" s="1"/>
  <c r="Q23"/>
  <c r="Q39" s="1"/>
  <c r="Q53" s="1"/>
  <c r="Q55" s="1"/>
  <c r="M23"/>
  <c r="K23"/>
  <c r="I23"/>
  <c r="G23"/>
  <c r="E23"/>
  <c r="C23"/>
  <c r="AA32" i="29"/>
  <c r="AG32" s="1"/>
  <c r="AI32" s="1"/>
  <c r="AA31"/>
  <c r="AG31" s="1"/>
  <c r="AA16"/>
  <c r="X42" i="27"/>
  <c r="V42"/>
  <c r="T42"/>
  <c r="R42"/>
  <c r="P42"/>
  <c r="N42"/>
  <c r="L42"/>
  <c r="J42"/>
  <c r="H42"/>
  <c r="F42"/>
  <c r="D42"/>
  <c r="B42"/>
  <c r="V29"/>
  <c r="T29"/>
  <c r="R29"/>
  <c r="P29"/>
  <c r="N29"/>
  <c r="L29"/>
  <c r="J29"/>
  <c r="H29"/>
  <c r="F29"/>
  <c r="D29"/>
  <c r="B29"/>
  <c r="X19"/>
  <c r="X34" s="1"/>
  <c r="X48" s="1"/>
  <c r="X50" s="1"/>
  <c r="V19"/>
  <c r="V34" s="1"/>
  <c r="T19"/>
  <c r="T34" s="1"/>
  <c r="R19"/>
  <c r="R34" s="1"/>
  <c r="P19"/>
  <c r="N19"/>
  <c r="N34" s="1"/>
  <c r="L19"/>
  <c r="L34" s="1"/>
  <c r="J19"/>
  <c r="J34" s="1"/>
  <c r="H19"/>
  <c r="F19"/>
  <c r="F34" s="1"/>
  <c r="D19"/>
  <c r="B19"/>
  <c r="B34" s="1"/>
  <c r="AD33" i="29"/>
  <c r="X33"/>
  <c r="V33"/>
  <c r="T33"/>
  <c r="R33"/>
  <c r="P33"/>
  <c r="N33"/>
  <c r="L33"/>
  <c r="J33"/>
  <c r="H33"/>
  <c r="F33"/>
  <c r="D33"/>
  <c r="B33"/>
  <c r="AA24"/>
  <c r="AG24" s="1"/>
  <c r="AI24" s="1"/>
  <c r="AA23"/>
  <c r="AG23" s="1"/>
  <c r="AI23" s="1"/>
  <c r="AA22"/>
  <c r="AG22" s="1"/>
  <c r="AD25"/>
  <c r="X25"/>
  <c r="V25"/>
  <c r="T25"/>
  <c r="R25"/>
  <c r="P25"/>
  <c r="N25"/>
  <c r="L25"/>
  <c r="J25"/>
  <c r="H25"/>
  <c r="F25"/>
  <c r="D25"/>
  <c r="X33" i="28"/>
  <c r="V33"/>
  <c r="T33"/>
  <c r="R33"/>
  <c r="P33"/>
  <c r="N33"/>
  <c r="L33"/>
  <c r="J33"/>
  <c r="H33"/>
  <c r="F33"/>
  <c r="D33"/>
  <c r="B33"/>
  <c r="X25"/>
  <c r="V25"/>
  <c r="T25"/>
  <c r="R25"/>
  <c r="P25"/>
  <c r="N25"/>
  <c r="L25"/>
  <c r="J25"/>
  <c r="H25"/>
  <c r="F25"/>
  <c r="D25"/>
  <c r="B25"/>
  <c r="X17"/>
  <c r="X28" s="1"/>
  <c r="X37" s="1"/>
  <c r="X38" s="1"/>
  <c r="V17"/>
  <c r="V28" s="1"/>
  <c r="V37" s="1"/>
  <c r="V38" s="1"/>
  <c r="T17"/>
  <c r="T28" s="1"/>
  <c r="T37" s="1"/>
  <c r="T38" s="1"/>
  <c r="R17"/>
  <c r="R28" s="1"/>
  <c r="R37" s="1"/>
  <c r="R38" s="1"/>
  <c r="P17"/>
  <c r="P28" s="1"/>
  <c r="P37" s="1"/>
  <c r="P38" s="1"/>
  <c r="N17"/>
  <c r="N28" s="1"/>
  <c r="N37" s="1"/>
  <c r="L17"/>
  <c r="L28" s="1"/>
  <c r="L37" s="1"/>
  <c r="J17"/>
  <c r="H17"/>
  <c r="H28" s="1"/>
  <c r="H37" s="1"/>
  <c r="F17"/>
  <c r="D17"/>
  <c r="B17"/>
  <c r="B28" s="1"/>
  <c r="B37" s="1"/>
  <c r="B38" s="1"/>
  <c r="D13" s="1"/>
  <c r="B25" i="29"/>
  <c r="AD17"/>
  <c r="X17"/>
  <c r="V17"/>
  <c r="T17"/>
  <c r="T28" s="1"/>
  <c r="T37" s="1"/>
  <c r="T38" s="1"/>
  <c r="R17"/>
  <c r="P17"/>
  <c r="N17"/>
  <c r="L17"/>
  <c r="J17"/>
  <c r="H17"/>
  <c r="F17"/>
  <c r="D17"/>
  <c r="B17"/>
  <c r="J17" i="33"/>
  <c r="J16"/>
  <c r="J15"/>
  <c r="H18"/>
  <c r="F18"/>
  <c r="D18"/>
  <c r="J44" i="32"/>
  <c r="H44"/>
  <c r="F44"/>
  <c r="D44"/>
  <c r="L43"/>
  <c r="L42"/>
  <c r="L41"/>
  <c r="L40"/>
  <c r="L39"/>
  <c r="L38"/>
  <c r="L37"/>
  <c r="L36"/>
  <c r="L35"/>
  <c r="L34"/>
  <c r="L33"/>
  <c r="L32"/>
  <c r="L31"/>
  <c r="L30"/>
  <c r="L29"/>
  <c r="L28"/>
  <c r="L27"/>
  <c r="L21"/>
  <c r="L20"/>
  <c r="J23"/>
  <c r="H23"/>
  <c r="F23"/>
  <c r="D23"/>
  <c r="J16"/>
  <c r="H16"/>
  <c r="F16"/>
  <c r="D16"/>
  <c r="L14"/>
  <c r="L16" s="1"/>
  <c r="K38" i="31"/>
  <c r="K37"/>
  <c r="K36"/>
  <c r="K35"/>
  <c r="K34"/>
  <c r="K33"/>
  <c r="K32"/>
  <c r="K31"/>
  <c r="K24"/>
  <c r="K23"/>
  <c r="K22"/>
  <c r="K21"/>
  <c r="K20"/>
  <c r="K19"/>
  <c r="K18"/>
  <c r="K17"/>
  <c r="I39"/>
  <c r="G39"/>
  <c r="E39"/>
  <c r="C39"/>
  <c r="I25"/>
  <c r="G25"/>
  <c r="E25"/>
  <c r="C25"/>
  <c r="AI74" i="24"/>
  <c r="AA74"/>
  <c r="AA81" s="1"/>
  <c r="Y74"/>
  <c r="Y81" s="1"/>
  <c r="W74"/>
  <c r="W81" s="1"/>
  <c r="U74"/>
  <c r="U81" s="1"/>
  <c r="S74"/>
  <c r="S81" s="1"/>
  <c r="Q74"/>
  <c r="Q81" s="1"/>
  <c r="O74"/>
  <c r="O81" s="1"/>
  <c r="M74"/>
  <c r="M81" s="1"/>
  <c r="K74"/>
  <c r="K81" s="1"/>
  <c r="I74"/>
  <c r="I81" s="1"/>
  <c r="G74"/>
  <c r="G81" s="1"/>
  <c r="E91"/>
  <c r="E74"/>
  <c r="E81" s="1"/>
  <c r="E84" s="1"/>
  <c r="AA92" i="23"/>
  <c r="Y92"/>
  <c r="W92"/>
  <c r="U92"/>
  <c r="S92"/>
  <c r="Q92"/>
  <c r="O92"/>
  <c r="K92"/>
  <c r="I92"/>
  <c r="G92"/>
  <c r="AA75"/>
  <c r="AA82" s="1"/>
  <c r="Y75"/>
  <c r="Y82" s="1"/>
  <c r="W75"/>
  <c r="W82" s="1"/>
  <c r="W85" s="1"/>
  <c r="U75"/>
  <c r="U82" s="1"/>
  <c r="U85" s="1"/>
  <c r="S75"/>
  <c r="S82" s="1"/>
  <c r="Q75"/>
  <c r="Q82" s="1"/>
  <c r="O75"/>
  <c r="O82" s="1"/>
  <c r="O85" s="1"/>
  <c r="K75"/>
  <c r="K82" s="1"/>
  <c r="I75"/>
  <c r="I82" s="1"/>
  <c r="G75"/>
  <c r="G82" s="1"/>
  <c r="AA60" i="22"/>
  <c r="G31" i="12" s="1"/>
  <c r="AA59" i="22"/>
  <c r="G25" i="12" s="1"/>
  <c r="AA50" i="22"/>
  <c r="AA48"/>
  <c r="G29" i="12" s="1"/>
  <c r="AG12" i="22"/>
  <c r="AI12" s="1"/>
  <c r="AA42"/>
  <c r="AA44" s="1"/>
  <c r="AD62"/>
  <c r="X62"/>
  <c r="V62"/>
  <c r="T62"/>
  <c r="R62"/>
  <c r="P62"/>
  <c r="N62"/>
  <c r="L62"/>
  <c r="J62"/>
  <c r="H62"/>
  <c r="F62"/>
  <c r="D62"/>
  <c r="AD52"/>
  <c r="X52"/>
  <c r="V52"/>
  <c r="T52"/>
  <c r="T55" s="1"/>
  <c r="T67" s="1"/>
  <c r="T70" s="1"/>
  <c r="R52"/>
  <c r="R55" s="1"/>
  <c r="R67" s="1"/>
  <c r="R70" s="1"/>
  <c r="P52"/>
  <c r="N52"/>
  <c r="L52"/>
  <c r="L55" s="1"/>
  <c r="J52"/>
  <c r="J55" s="1"/>
  <c r="J67" s="1"/>
  <c r="H52"/>
  <c r="F52"/>
  <c r="F55" s="1"/>
  <c r="D52"/>
  <c r="B62"/>
  <c r="B52"/>
  <c r="AH86" i="21"/>
  <c r="AH70"/>
  <c r="AH77" s="1"/>
  <c r="Z86"/>
  <c r="X86"/>
  <c r="V86"/>
  <c r="T86"/>
  <c r="R86"/>
  <c r="P86"/>
  <c r="N86"/>
  <c r="J86"/>
  <c r="H86"/>
  <c r="F86"/>
  <c r="D86"/>
  <c r="AE98" i="20"/>
  <c r="G30" i="11" s="1"/>
  <c r="Z114" i="20"/>
  <c r="X114"/>
  <c r="V114"/>
  <c r="T114"/>
  <c r="R114"/>
  <c r="P114"/>
  <c r="N114"/>
  <c r="L114"/>
  <c r="J114"/>
  <c r="H114"/>
  <c r="F114"/>
  <c r="Z98"/>
  <c r="Z105" s="1"/>
  <c r="X98"/>
  <c r="X105" s="1"/>
  <c r="V98"/>
  <c r="V105" s="1"/>
  <c r="T98"/>
  <c r="T105" s="1"/>
  <c r="R98"/>
  <c r="R105" s="1"/>
  <c r="P98"/>
  <c r="P105" s="1"/>
  <c r="N98"/>
  <c r="N105" s="1"/>
  <c r="L98"/>
  <c r="L105" s="1"/>
  <c r="J98"/>
  <c r="J105" s="1"/>
  <c r="H98"/>
  <c r="H105" s="1"/>
  <c r="F98"/>
  <c r="F105" s="1"/>
  <c r="D114"/>
  <c r="D98"/>
  <c r="D105" s="1"/>
  <c r="D108" s="1"/>
  <c r="Z115" i="19"/>
  <c r="X115"/>
  <c r="V115"/>
  <c r="T115"/>
  <c r="R115"/>
  <c r="P115"/>
  <c r="N115"/>
  <c r="H115"/>
  <c r="F115"/>
  <c r="Z99"/>
  <c r="Z106" s="1"/>
  <c r="X99"/>
  <c r="X106" s="1"/>
  <c r="X109" s="1"/>
  <c r="V99"/>
  <c r="V106" s="1"/>
  <c r="T99"/>
  <c r="T106" s="1"/>
  <c r="R99"/>
  <c r="R106" s="1"/>
  <c r="P99"/>
  <c r="P106" s="1"/>
  <c r="N99"/>
  <c r="N106" s="1"/>
  <c r="N109" s="1"/>
  <c r="H99"/>
  <c r="H106" s="1"/>
  <c r="H109" s="1"/>
  <c r="F99"/>
  <c r="F106" s="1"/>
  <c r="D115"/>
  <c r="AF129" i="18"/>
  <c r="AF106"/>
  <c r="AF112" s="1"/>
  <c r="D34" i="27" l="1"/>
  <c r="J47" i="32"/>
  <c r="N28" i="29"/>
  <c r="N37" s="1"/>
  <c r="B28"/>
  <c r="B37" s="1"/>
  <c r="B38" s="1"/>
  <c r="H28"/>
  <c r="H37" s="1"/>
  <c r="P28"/>
  <c r="P37" s="1"/>
  <c r="P38" s="1"/>
  <c r="X28"/>
  <c r="X37" s="1"/>
  <c r="X38" s="1"/>
  <c r="F48" i="27"/>
  <c r="F50" s="1"/>
  <c r="H14" s="1"/>
  <c r="N48"/>
  <c r="V48"/>
  <c r="V50" s="1"/>
  <c r="R28" i="29"/>
  <c r="R37" s="1"/>
  <c r="R38" s="1"/>
  <c r="F28"/>
  <c r="F37" s="1"/>
  <c r="F38" s="1"/>
  <c r="H13" s="1"/>
  <c r="H38" s="1"/>
  <c r="J13" s="1"/>
  <c r="F41" i="6" s="1"/>
  <c r="V28" i="29"/>
  <c r="V37" s="1"/>
  <c r="V38" s="1"/>
  <c r="L67" i="22"/>
  <c r="L28" i="29"/>
  <c r="L37" s="1"/>
  <c r="M39" i="26"/>
  <c r="I42" i="31"/>
  <c r="J28" i="29"/>
  <c r="J37" s="1"/>
  <c r="K25" i="10"/>
  <c r="K27" s="1"/>
  <c r="G27"/>
  <c r="V25" i="11"/>
  <c r="I25" i="10"/>
  <c r="I27" s="1"/>
  <c r="T25" i="11"/>
  <c r="J28" i="28"/>
  <c r="J37" s="1"/>
  <c r="G31" i="10"/>
  <c r="I31" s="1"/>
  <c r="K32"/>
  <c r="I32"/>
  <c r="K26" i="13"/>
  <c r="I26"/>
  <c r="K33" i="10"/>
  <c r="I33"/>
  <c r="X119" i="19"/>
  <c r="X121" s="1"/>
  <c r="N119"/>
  <c r="D118" i="20"/>
  <c r="I24" i="14"/>
  <c r="K24"/>
  <c r="I26"/>
  <c r="K26"/>
  <c r="K29" i="12"/>
  <c r="I29"/>
  <c r="I31"/>
  <c r="K31"/>
  <c r="I25"/>
  <c r="K25"/>
  <c r="G21" i="14"/>
  <c r="G21" i="13" s="1"/>
  <c r="AF22" i="24"/>
  <c r="G20" i="14" s="1"/>
  <c r="V31" i="11"/>
  <c r="T31"/>
  <c r="K30"/>
  <c r="I30"/>
  <c r="K31"/>
  <c r="I31"/>
  <c r="K32"/>
  <c r="I32"/>
  <c r="I33"/>
  <c r="K33"/>
  <c r="E96" i="24"/>
  <c r="O97" i="23"/>
  <c r="W97"/>
  <c r="W99" s="1"/>
  <c r="AG42" i="22"/>
  <c r="G24" i="12"/>
  <c r="H119" i="19"/>
  <c r="D47" i="32"/>
  <c r="AI31" i="29"/>
  <c r="AG33"/>
  <c r="AI33" s="1"/>
  <c r="AG25"/>
  <c r="AI25" s="1"/>
  <c r="AI22"/>
  <c r="N108" i="20"/>
  <c r="N118" s="1"/>
  <c r="V108"/>
  <c r="V118" s="1"/>
  <c r="L108"/>
  <c r="L118" s="1"/>
  <c r="P108"/>
  <c r="P118" s="1"/>
  <c r="X108"/>
  <c r="X118" s="1"/>
  <c r="T108"/>
  <c r="T118" s="1"/>
  <c r="R108"/>
  <c r="R118" s="1"/>
  <c r="Z108"/>
  <c r="Z118" s="1"/>
  <c r="AL72" i="25"/>
  <c r="G32" i="13"/>
  <c r="AL87" i="24"/>
  <c r="AF91"/>
  <c r="AD44" i="3"/>
  <c r="AF44" s="1"/>
  <c r="G33" i="8"/>
  <c r="J45" i="3"/>
  <c r="J108" i="20"/>
  <c r="J118" s="1"/>
  <c r="J23" i="3"/>
  <c r="G27" i="11"/>
  <c r="Q84" i="24"/>
  <c r="Q96" s="1"/>
  <c r="K84"/>
  <c r="K96" s="1"/>
  <c r="S84"/>
  <c r="S96" s="1"/>
  <c r="AA84"/>
  <c r="AA96" s="1"/>
  <c r="W84"/>
  <c r="W96" s="1"/>
  <c r="M84"/>
  <c r="M96" s="1"/>
  <c r="U84"/>
  <c r="U96" s="1"/>
  <c r="Y84"/>
  <c r="Y96" s="1"/>
  <c r="O84"/>
  <c r="O96" s="1"/>
  <c r="AL58"/>
  <c r="AN58" s="1"/>
  <c r="AL79"/>
  <c r="AN79" s="1"/>
  <c r="G31" i="14"/>
  <c r="O66" i="25"/>
  <c r="O76" s="1"/>
  <c r="E66"/>
  <c r="E76" s="1"/>
  <c r="M66"/>
  <c r="M76" s="1"/>
  <c r="U66"/>
  <c r="U76" s="1"/>
  <c r="W66"/>
  <c r="W76" s="1"/>
  <c r="K66"/>
  <c r="K76" s="1"/>
  <c r="S66"/>
  <c r="S76" s="1"/>
  <c r="AA66"/>
  <c r="AA76" s="1"/>
  <c r="Q66"/>
  <c r="Q76" s="1"/>
  <c r="Y66"/>
  <c r="Y76" s="1"/>
  <c r="Q31" i="14"/>
  <c r="Q24"/>
  <c r="AL47" i="25"/>
  <c r="AN47" s="1"/>
  <c r="N55" i="22"/>
  <c r="N67" s="1"/>
  <c r="V55"/>
  <c r="V67" s="1"/>
  <c r="V70" s="1"/>
  <c r="H55"/>
  <c r="H67" s="1"/>
  <c r="P55"/>
  <c r="P67" s="1"/>
  <c r="P70" s="1"/>
  <c r="X55"/>
  <c r="X67" s="1"/>
  <c r="X70" s="1"/>
  <c r="I39" i="26"/>
  <c r="I53" s="1"/>
  <c r="S53"/>
  <c r="S55" s="1"/>
  <c r="C39"/>
  <c r="C53" s="1"/>
  <c r="C55" s="1"/>
  <c r="K39"/>
  <c r="K53" s="1"/>
  <c r="J48" i="27"/>
  <c r="R48"/>
  <c r="R50" s="1"/>
  <c r="L48"/>
  <c r="T48"/>
  <c r="T50" s="1"/>
  <c r="H34"/>
  <c r="H48" s="1"/>
  <c r="H50" s="1"/>
  <c r="J14" s="1"/>
  <c r="P34"/>
  <c r="P48" s="1"/>
  <c r="P50" s="1"/>
  <c r="D48"/>
  <c r="D50" s="1"/>
  <c r="B48"/>
  <c r="B50" s="1"/>
  <c r="AD28" i="29"/>
  <c r="AD37" s="1"/>
  <c r="AD38" s="1"/>
  <c r="D28"/>
  <c r="D37" s="1"/>
  <c r="D38" s="1"/>
  <c r="AA17"/>
  <c r="AG16"/>
  <c r="Y85" i="23"/>
  <c r="Y97" s="1"/>
  <c r="Y99" s="1"/>
  <c r="K85"/>
  <c r="K97" s="1"/>
  <c r="S85"/>
  <c r="S97" s="1"/>
  <c r="S99" s="1"/>
  <c r="AA85"/>
  <c r="AA97" s="1"/>
  <c r="AA99" s="1"/>
  <c r="U97"/>
  <c r="U99" s="1"/>
  <c r="Q85"/>
  <c r="Q97" s="1"/>
  <c r="G23" i="12"/>
  <c r="AG50" i="22"/>
  <c r="AI50" s="1"/>
  <c r="G30" i="12"/>
  <c r="P109" i="19"/>
  <c r="P119" s="1"/>
  <c r="R109"/>
  <c r="R119" s="1"/>
  <c r="R121" s="1"/>
  <c r="Z109"/>
  <c r="Z119" s="1"/>
  <c r="Z121" s="1"/>
  <c r="T109"/>
  <c r="T119" s="1"/>
  <c r="T121" s="1"/>
  <c r="V109"/>
  <c r="V119" s="1"/>
  <c r="V121" s="1"/>
  <c r="G39" i="26"/>
  <c r="G53" s="1"/>
  <c r="G55" s="1"/>
  <c r="I16" s="1"/>
  <c r="AG60" i="22"/>
  <c r="AI60" s="1"/>
  <c r="AG59"/>
  <c r="F28" i="28"/>
  <c r="F37" s="1"/>
  <c r="H108" i="20"/>
  <c r="H118" s="1"/>
  <c r="I85" i="23"/>
  <c r="I97" s="1"/>
  <c r="AL61" i="25"/>
  <c r="AN61" s="1"/>
  <c r="I66"/>
  <c r="I76" s="1"/>
  <c r="AL66" i="24"/>
  <c r="AN66" s="1"/>
  <c r="I84"/>
  <c r="I96" s="1"/>
  <c r="AL19"/>
  <c r="AD55" i="22"/>
  <c r="AD67" s="1"/>
  <c r="AD70" s="1"/>
  <c r="F67"/>
  <c r="AL26" i="24"/>
  <c r="D55" i="22"/>
  <c r="D67" s="1"/>
  <c r="AL88" i="24"/>
  <c r="AN88" s="1"/>
  <c r="AL20"/>
  <c r="AN20" s="1"/>
  <c r="E39" i="26"/>
  <c r="E53" s="1"/>
  <c r="E55" s="1"/>
  <c r="AL21" i="24"/>
  <c r="AN21" s="1"/>
  <c r="D28" i="28"/>
  <c r="D37" s="1"/>
  <c r="D38" s="1"/>
  <c r="F13" s="1"/>
  <c r="G85" i="23"/>
  <c r="G97" s="1"/>
  <c r="AL72" i="24"/>
  <c r="AN72" s="1"/>
  <c r="AL65"/>
  <c r="AN65" s="1"/>
  <c r="AF74"/>
  <c r="G84"/>
  <c r="G96" s="1"/>
  <c r="AL64"/>
  <c r="AN64" s="1"/>
  <c r="AF72" i="25"/>
  <c r="AL55"/>
  <c r="AF56"/>
  <c r="G66"/>
  <c r="G76" s="1"/>
  <c r="AL40"/>
  <c r="AN42"/>
  <c r="AA62" i="22"/>
  <c r="AA52"/>
  <c r="AG48"/>
  <c r="AI48" s="1"/>
  <c r="AH108" i="20"/>
  <c r="AH118" s="1"/>
  <c r="AK98"/>
  <c r="F108"/>
  <c r="F118" s="1"/>
  <c r="AE105"/>
  <c r="AM105" s="1"/>
  <c r="F109" i="19"/>
  <c r="F119" s="1"/>
  <c r="H47" i="32"/>
  <c r="L44"/>
  <c r="F47"/>
  <c r="L23"/>
  <c r="G42" i="31"/>
  <c r="E42"/>
  <c r="C42"/>
  <c r="AI81" i="24"/>
  <c r="AF115" i="18"/>
  <c r="AF133" s="1"/>
  <c r="AF135" s="1"/>
  <c r="AM98" i="20"/>
  <c r="AM84"/>
  <c r="AA33" i="29"/>
  <c r="AA25"/>
  <c r="J18" i="33"/>
  <c r="K39" i="31"/>
  <c r="K25"/>
  <c r="Y136" i="16"/>
  <c r="W136"/>
  <c r="U136"/>
  <c r="S136"/>
  <c r="Q136"/>
  <c r="O136"/>
  <c r="M136"/>
  <c r="Y117"/>
  <c r="Y126" s="1"/>
  <c r="W117"/>
  <c r="W126" s="1"/>
  <c r="U117"/>
  <c r="U126" s="1"/>
  <c r="S117"/>
  <c r="S126" s="1"/>
  <c r="Q117"/>
  <c r="Q126" s="1"/>
  <c r="O117"/>
  <c r="O126" s="1"/>
  <c r="M117"/>
  <c r="M126" s="1"/>
  <c r="N34" i="6"/>
  <c r="N26"/>
  <c r="N19"/>
  <c r="N34" i="2"/>
  <c r="L34"/>
  <c r="I148" i="30"/>
  <c r="G148"/>
  <c r="C148"/>
  <c r="K129"/>
  <c r="K130"/>
  <c r="K131"/>
  <c r="K132"/>
  <c r="K133"/>
  <c r="K134"/>
  <c r="K135"/>
  <c r="K136"/>
  <c r="K137"/>
  <c r="K138"/>
  <c r="K139"/>
  <c r="K140"/>
  <c r="K141"/>
  <c r="K142"/>
  <c r="K143"/>
  <c r="K144"/>
  <c r="K145"/>
  <c r="K146"/>
  <c r="K147"/>
  <c r="K128"/>
  <c r="K112"/>
  <c r="K113"/>
  <c r="K114"/>
  <c r="K115"/>
  <c r="K116"/>
  <c r="K117"/>
  <c r="K118"/>
  <c r="K119"/>
  <c r="K120"/>
  <c r="K121"/>
  <c r="K122"/>
  <c r="K123"/>
  <c r="K124"/>
  <c r="K125"/>
  <c r="K126"/>
  <c r="I107"/>
  <c r="G107"/>
  <c r="E107"/>
  <c r="C107"/>
  <c r="K101"/>
  <c r="K102"/>
  <c r="K103"/>
  <c r="K104"/>
  <c r="K105"/>
  <c r="K106"/>
  <c r="K100"/>
  <c r="I95"/>
  <c r="G95"/>
  <c r="E95"/>
  <c r="C95"/>
  <c r="K89"/>
  <c r="K90"/>
  <c r="K91"/>
  <c r="K92"/>
  <c r="K93"/>
  <c r="K94"/>
  <c r="K88"/>
  <c r="I85"/>
  <c r="G85"/>
  <c r="E85"/>
  <c r="C85"/>
  <c r="K69"/>
  <c r="K70"/>
  <c r="K71"/>
  <c r="K72"/>
  <c r="K73"/>
  <c r="K75"/>
  <c r="K76"/>
  <c r="K77"/>
  <c r="K78"/>
  <c r="K79"/>
  <c r="K80"/>
  <c r="K81"/>
  <c r="K82"/>
  <c r="K83"/>
  <c r="K84"/>
  <c r="K68"/>
  <c r="K63"/>
  <c r="K64"/>
  <c r="K65"/>
  <c r="K66"/>
  <c r="K62"/>
  <c r="K35"/>
  <c r="K36"/>
  <c r="K37"/>
  <c r="K38"/>
  <c r="K39"/>
  <c r="K40"/>
  <c r="K41"/>
  <c r="K42"/>
  <c r="K43"/>
  <c r="K44"/>
  <c r="K45"/>
  <c r="K46"/>
  <c r="K47"/>
  <c r="K48"/>
  <c r="K49"/>
  <c r="K50"/>
  <c r="K51"/>
  <c r="K52"/>
  <c r="K53"/>
  <c r="K54"/>
  <c r="K55"/>
  <c r="K56"/>
  <c r="K57"/>
  <c r="K58"/>
  <c r="K34"/>
  <c r="K28"/>
  <c r="K29"/>
  <c r="K30"/>
  <c r="K31"/>
  <c r="K32"/>
  <c r="K27"/>
  <c r="G26" i="12" l="1"/>
  <c r="F38" i="28"/>
  <c r="H13" s="1"/>
  <c r="H38" s="1"/>
  <c r="J13" s="1"/>
  <c r="J38" s="1"/>
  <c r="L13" s="1"/>
  <c r="J38" i="29"/>
  <c r="L13" s="1"/>
  <c r="L38" s="1"/>
  <c r="N13" s="1"/>
  <c r="N38" s="1"/>
  <c r="J50" i="27"/>
  <c r="L14" s="1"/>
  <c r="F45" i="5" s="1"/>
  <c r="I55" i="26"/>
  <c r="K16" s="1"/>
  <c r="K55" s="1"/>
  <c r="M16" s="1"/>
  <c r="G24" i="13"/>
  <c r="K24" s="1"/>
  <c r="Q27" i="14"/>
  <c r="G20" i="13"/>
  <c r="G27" i="14"/>
  <c r="M53" i="26"/>
  <c r="AI59" i="22"/>
  <c r="AG62"/>
  <c r="AI62" s="1"/>
  <c r="K31" i="10"/>
  <c r="I21" i="13"/>
  <c r="K21"/>
  <c r="G22" i="7"/>
  <c r="G31" i="13"/>
  <c r="I31" s="1"/>
  <c r="I32"/>
  <c r="K32"/>
  <c r="U32" i="14"/>
  <c r="S32"/>
  <c r="U31"/>
  <c r="S31"/>
  <c r="AN40" i="25"/>
  <c r="AL42"/>
  <c r="U24" i="14"/>
  <c r="U27" s="1"/>
  <c r="S24"/>
  <c r="S27" s="1"/>
  <c r="I21"/>
  <c r="K21"/>
  <c r="I20"/>
  <c r="K20"/>
  <c r="K31"/>
  <c r="I31"/>
  <c r="I30" i="12"/>
  <c r="I32" s="1"/>
  <c r="K30"/>
  <c r="K32" s="1"/>
  <c r="G32" i="7"/>
  <c r="I24" i="12"/>
  <c r="K24"/>
  <c r="I23"/>
  <c r="K23"/>
  <c r="G24" i="7"/>
  <c r="AN26" i="24"/>
  <c r="AL27"/>
  <c r="AF32"/>
  <c r="AF60" s="1"/>
  <c r="AN19"/>
  <c r="AL22"/>
  <c r="AN22" s="1"/>
  <c r="K35" i="11"/>
  <c r="K39" s="1"/>
  <c r="K42" s="1"/>
  <c r="K33" i="8"/>
  <c r="I33"/>
  <c r="I27" i="11"/>
  <c r="AI42" i="22"/>
  <c r="AG44"/>
  <c r="AI44" s="1"/>
  <c r="AG17" i="29"/>
  <c r="AI16"/>
  <c r="U129" i="16"/>
  <c r="U140" s="1"/>
  <c r="U142" s="1"/>
  <c r="Q129"/>
  <c r="Q140" s="1"/>
  <c r="Q142" s="1"/>
  <c r="O129"/>
  <c r="O140" s="1"/>
  <c r="W129"/>
  <c r="W140" s="1"/>
  <c r="W142" s="1"/>
  <c r="M129"/>
  <c r="M140" s="1"/>
  <c r="S129"/>
  <c r="S140" s="1"/>
  <c r="S142" s="1"/>
  <c r="Y129"/>
  <c r="Y140" s="1"/>
  <c r="Y142" s="1"/>
  <c r="J48" i="3"/>
  <c r="G30" i="14"/>
  <c r="AL56" i="25"/>
  <c r="AF63"/>
  <c r="AF66" s="1"/>
  <c r="AF76" s="1"/>
  <c r="Q30" i="14"/>
  <c r="AA28" i="29"/>
  <c r="AA37" s="1"/>
  <c r="G32" i="12"/>
  <c r="AL74" i="24"/>
  <c r="AN74" s="1"/>
  <c r="AA55" i="22"/>
  <c r="AL91" i="24"/>
  <c r="AN91" s="1"/>
  <c r="K148" i="30"/>
  <c r="AF81" i="24"/>
  <c r="AN56" i="25"/>
  <c r="K85" i="30"/>
  <c r="K95"/>
  <c r="AG52" i="22"/>
  <c r="AI52" s="1"/>
  <c r="K107" i="30"/>
  <c r="AK105" i="20"/>
  <c r="AE108"/>
  <c r="L47" i="32"/>
  <c r="N29" i="6"/>
  <c r="N39" s="1"/>
  <c r="N42" s="1"/>
  <c r="AI84" i="24"/>
  <c r="K42" i="31"/>
  <c r="X12" i="2"/>
  <c r="H24" i="6"/>
  <c r="AC14" i="18"/>
  <c r="AK37"/>
  <c r="AK52"/>
  <c r="AC90"/>
  <c r="G25" i="9" s="1"/>
  <c r="AI97" i="18"/>
  <c r="AK97" s="1"/>
  <c r="AI98"/>
  <c r="AK98" s="1"/>
  <c r="AI100"/>
  <c r="AK100" s="1"/>
  <c r="AI101"/>
  <c r="AK101" s="1"/>
  <c r="AI102"/>
  <c r="AK102" s="1"/>
  <c r="AI103"/>
  <c r="AK103" s="1"/>
  <c r="AI104"/>
  <c r="AK104" s="1"/>
  <c r="AI105"/>
  <c r="AK105" s="1"/>
  <c r="D106"/>
  <c r="D112" s="1"/>
  <c r="F106"/>
  <c r="F112" s="1"/>
  <c r="H106"/>
  <c r="H112" s="1"/>
  <c r="J106"/>
  <c r="J112" s="1"/>
  <c r="L106"/>
  <c r="L112" s="1"/>
  <c r="N106"/>
  <c r="N112" s="1"/>
  <c r="P106"/>
  <c r="P112" s="1"/>
  <c r="R106"/>
  <c r="R112" s="1"/>
  <c r="T106"/>
  <c r="T112" s="1"/>
  <c r="V106"/>
  <c r="V112" s="1"/>
  <c r="X106"/>
  <c r="X112" s="1"/>
  <c r="Z106"/>
  <c r="Z112" s="1"/>
  <c r="AI108"/>
  <c r="AK108" s="1"/>
  <c r="AC109"/>
  <c r="AC110"/>
  <c r="AC119"/>
  <c r="G27" i="9" s="1"/>
  <c r="AC123" i="18"/>
  <c r="AC124"/>
  <c r="AC125"/>
  <c r="AC126"/>
  <c r="AI126" s="1"/>
  <c r="AK126" s="1"/>
  <c r="D129"/>
  <c r="F129"/>
  <c r="H129"/>
  <c r="J129"/>
  <c r="L129"/>
  <c r="N129"/>
  <c r="P129"/>
  <c r="R129"/>
  <c r="T129"/>
  <c r="V129"/>
  <c r="X129"/>
  <c r="Z129"/>
  <c r="Z70" i="21"/>
  <c r="Z77" s="1"/>
  <c r="Z80" s="1"/>
  <c r="Z90" s="1"/>
  <c r="X70"/>
  <c r="X77" s="1"/>
  <c r="X80" s="1"/>
  <c r="V70"/>
  <c r="V77" s="1"/>
  <c r="V80" s="1"/>
  <c r="T70"/>
  <c r="T77" s="1"/>
  <c r="T80" s="1"/>
  <c r="R70"/>
  <c r="R77" s="1"/>
  <c r="P70"/>
  <c r="P77" s="1"/>
  <c r="P80" s="1"/>
  <c r="N70"/>
  <c r="N77" s="1"/>
  <c r="N80" s="1"/>
  <c r="J70"/>
  <c r="J77" s="1"/>
  <c r="J80" s="1"/>
  <c r="H70"/>
  <c r="H77" s="1"/>
  <c r="H80" s="1"/>
  <c r="D70"/>
  <c r="D77" s="1"/>
  <c r="F70"/>
  <c r="F77" s="1"/>
  <c r="F80" s="1"/>
  <c r="AH80"/>
  <c r="AH90" s="1"/>
  <c r="K26" i="12" l="1"/>
  <c r="K36" s="1"/>
  <c r="K39" s="1"/>
  <c r="J41" i="6"/>
  <c r="L38" i="28"/>
  <c r="N13" s="1"/>
  <c r="N38" s="1"/>
  <c r="M55" i="26"/>
  <c r="O16" s="1"/>
  <c r="O55" s="1"/>
  <c r="L50" i="27"/>
  <c r="N14" s="1"/>
  <c r="N50" s="1"/>
  <c r="AI14" i="18"/>
  <c r="AK14" s="1"/>
  <c r="G49" i="9"/>
  <c r="K20" i="13"/>
  <c r="K27" s="1"/>
  <c r="I20"/>
  <c r="K27" i="9"/>
  <c r="I27"/>
  <c r="G41" i="7"/>
  <c r="I26" i="12"/>
  <c r="I36" s="1"/>
  <c r="I39" s="1"/>
  <c r="I24" i="13"/>
  <c r="G27"/>
  <c r="G21" i="7"/>
  <c r="I21" s="1"/>
  <c r="I27" i="14"/>
  <c r="K27"/>
  <c r="AI96" i="24"/>
  <c r="D80" i="21"/>
  <c r="D90" s="1"/>
  <c r="R80"/>
  <c r="R90" s="1"/>
  <c r="G33" i="7"/>
  <c r="K33" s="1"/>
  <c r="K22"/>
  <c r="I22"/>
  <c r="K31" i="13"/>
  <c r="G30"/>
  <c r="I30" s="1"/>
  <c r="I33" s="1"/>
  <c r="I25" i="9"/>
  <c r="K25"/>
  <c r="G31"/>
  <c r="G25" i="7"/>
  <c r="I25" s="1"/>
  <c r="U30" i="14"/>
  <c r="U33" s="1"/>
  <c r="S30"/>
  <c r="S33" s="1"/>
  <c r="Q33"/>
  <c r="Q37" s="1"/>
  <c r="Q40" s="1"/>
  <c r="K30"/>
  <c r="K33" s="1"/>
  <c r="I30"/>
  <c r="I33" s="1"/>
  <c r="I24" i="7"/>
  <c r="K24"/>
  <c r="I32"/>
  <c r="K32"/>
  <c r="AL32" i="24"/>
  <c r="AN32" s="1"/>
  <c r="AN27"/>
  <c r="AM108" i="20"/>
  <c r="AI90" i="18"/>
  <c r="AK90" s="1"/>
  <c r="AC92"/>
  <c r="AI17" i="29"/>
  <c r="AG28"/>
  <c r="P90" i="21"/>
  <c r="X90"/>
  <c r="N90"/>
  <c r="T90"/>
  <c r="V90"/>
  <c r="J90"/>
  <c r="AI125" i="18"/>
  <c r="AK125" s="1"/>
  <c r="G38" i="9"/>
  <c r="AI123" i="18"/>
  <c r="AK123" s="1"/>
  <c r="G39" i="9"/>
  <c r="AI110" i="18"/>
  <c r="AK110" s="1"/>
  <c r="G36" i="9"/>
  <c r="AI109" i="18"/>
  <c r="AK109" s="1"/>
  <c r="G35" i="9"/>
  <c r="G33" i="14"/>
  <c r="G37" s="1"/>
  <c r="G36" i="12"/>
  <c r="G39" s="1"/>
  <c r="AK44" i="18"/>
  <c r="X115"/>
  <c r="P115"/>
  <c r="H115"/>
  <c r="N115"/>
  <c r="V115"/>
  <c r="H90" i="21"/>
  <c r="AF84" i="24"/>
  <c r="AF96" s="1"/>
  <c r="AL81"/>
  <c r="AN81" s="1"/>
  <c r="AI119" i="18"/>
  <c r="AK119" s="1"/>
  <c r="F49" i="2"/>
  <c r="F51" i="3" s="1"/>
  <c r="F115" i="18"/>
  <c r="F90" i="21"/>
  <c r="AK108" i="20"/>
  <c r="AC129" i="18"/>
  <c r="Z115"/>
  <c r="R115"/>
  <c r="J115"/>
  <c r="T115"/>
  <c r="L115"/>
  <c r="D115"/>
  <c r="AC106"/>
  <c r="AI96"/>
  <c r="AK96" s="1"/>
  <c r="I27" i="13" l="1"/>
  <c r="I37" s="1"/>
  <c r="I40" s="1"/>
  <c r="J44" i="5"/>
  <c r="J45" s="1"/>
  <c r="B45"/>
  <c r="G49" i="7"/>
  <c r="K49" i="9"/>
  <c r="I49"/>
  <c r="K31"/>
  <c r="I41" i="7"/>
  <c r="K41"/>
  <c r="AI129" i="18"/>
  <c r="AK129" s="1"/>
  <c r="K21" i="7"/>
  <c r="I26"/>
  <c r="G26"/>
  <c r="I33"/>
  <c r="G33" i="13"/>
  <c r="G37" s="1"/>
  <c r="G40" s="1"/>
  <c r="K30"/>
  <c r="K33" s="1"/>
  <c r="K37" s="1"/>
  <c r="K40" s="1"/>
  <c r="K25" i="7"/>
  <c r="I36" i="9"/>
  <c r="K36"/>
  <c r="G31" i="7"/>
  <c r="AI106" i="18"/>
  <c r="G34" i="9"/>
  <c r="I38"/>
  <c r="K38"/>
  <c r="K35"/>
  <c r="I35"/>
  <c r="G30" i="7"/>
  <c r="I39" i="9"/>
  <c r="K39"/>
  <c r="U37" i="14"/>
  <c r="K37"/>
  <c r="K40" s="1"/>
  <c r="I37"/>
  <c r="I40" s="1"/>
  <c r="S37"/>
  <c r="AL60" i="24"/>
  <c r="AN60" s="1"/>
  <c r="H61" i="3"/>
  <c r="AK54" i="18"/>
  <c r="AI28" i="29"/>
  <c r="AG37"/>
  <c r="AI37" s="1"/>
  <c r="AG55" i="22"/>
  <c r="AL84" i="24"/>
  <c r="AC112" i="18"/>
  <c r="P33" i="6"/>
  <c r="P32"/>
  <c r="H33"/>
  <c r="H32"/>
  <c r="F19"/>
  <c r="D33"/>
  <c r="D32"/>
  <c r="B19"/>
  <c r="I49" i="7" l="1"/>
  <c r="K49"/>
  <c r="K26"/>
  <c r="AG67" i="22"/>
  <c r="AG70" s="1"/>
  <c r="AI55"/>
  <c r="AK106" i="18"/>
  <c r="AI112"/>
  <c r="AK112" s="1"/>
  <c r="AL96" i="24"/>
  <c r="AN96" s="1"/>
  <c r="AN84"/>
  <c r="K31" i="7"/>
  <c r="I31"/>
  <c r="I34" i="9"/>
  <c r="I43" s="1"/>
  <c r="K34"/>
  <c r="K43" s="1"/>
  <c r="K47" s="1"/>
  <c r="K50" s="1"/>
  <c r="K30" i="7"/>
  <c r="I30"/>
  <c r="U40" i="14"/>
  <c r="S40"/>
  <c r="AI92" i="18"/>
  <c r="AK92" s="1"/>
  <c r="G40" i="14"/>
  <c r="AC115" i="18"/>
  <c r="AI115" s="1"/>
  <c r="AK115" s="1"/>
  <c r="D34" i="6"/>
  <c r="L33"/>
  <c r="S33" s="1"/>
  <c r="U33" s="1"/>
  <c r="F26"/>
  <c r="F29" s="1"/>
  <c r="F34"/>
  <c r="P34"/>
  <c r="U34" s="1"/>
  <c r="B34"/>
  <c r="J32"/>
  <c r="J33"/>
  <c r="H34"/>
  <c r="L32"/>
  <c r="S32" s="1"/>
  <c r="G34" i="10"/>
  <c r="AI67" i="22" l="1"/>
  <c r="U32" i="6"/>
  <c r="S34"/>
  <c r="I34" i="10"/>
  <c r="K34"/>
  <c r="G42" i="7"/>
  <c r="T34" i="11"/>
  <c r="V34"/>
  <c r="AI70" i="22"/>
  <c r="L34" i="6"/>
  <c r="F39"/>
  <c r="F42" s="1"/>
  <c r="J34"/>
  <c r="K42" i="7" l="1"/>
  <c r="I42"/>
  <c r="G43"/>
  <c r="N57" i="2" l="1"/>
  <c r="N59" i="3" s="1"/>
  <c r="F57" i="2"/>
  <c r="F59" i="3" l="1"/>
  <c r="T59" s="1"/>
  <c r="K13" i="30"/>
  <c r="K22"/>
  <c r="AD41" i="2"/>
  <c r="AD40"/>
  <c r="AD59" i="3" l="1"/>
  <c r="AF59" s="1"/>
  <c r="G48" i="8"/>
  <c r="AG88" i="23"/>
  <c r="AL88" s="1"/>
  <c r="AG80"/>
  <c r="AE124" i="16" s="1"/>
  <c r="AG79" i="23"/>
  <c r="AG78"/>
  <c r="AG77"/>
  <c r="AG74"/>
  <c r="AE116" i="16" s="1"/>
  <c r="AG73" i="23"/>
  <c r="AE115" i="16" s="1"/>
  <c r="AG72" i="23"/>
  <c r="AE114" i="16" s="1"/>
  <c r="AG71" i="23"/>
  <c r="AG70"/>
  <c r="AE112" i="16" s="1"/>
  <c r="AG69" i="23"/>
  <c r="AG67"/>
  <c r="AE109" i="16" s="1"/>
  <c r="AG66" i="23"/>
  <c r="AE108" i="16" s="1"/>
  <c r="AG65" i="23"/>
  <c r="AE107" i="16" s="1"/>
  <c r="AG61" i="23"/>
  <c r="AK74" i="21"/>
  <c r="AM74" s="1"/>
  <c r="AK68"/>
  <c r="AM68" s="1"/>
  <c r="AK94" i="20"/>
  <c r="AM94" s="1"/>
  <c r="R26" i="11"/>
  <c r="AK75" i="21"/>
  <c r="AK73"/>
  <c r="AM73" s="1"/>
  <c r="AK72"/>
  <c r="AM72" s="1"/>
  <c r="AK69"/>
  <c r="AM69" s="1"/>
  <c r="AK67"/>
  <c r="AM67" s="1"/>
  <c r="AK66"/>
  <c r="AM66" s="1"/>
  <c r="AK65"/>
  <c r="AM65" s="1"/>
  <c r="AK64"/>
  <c r="AM64" s="1"/>
  <c r="AK61"/>
  <c r="AM61" s="1"/>
  <c r="AK62"/>
  <c r="AM62" s="1"/>
  <c r="AK54"/>
  <c r="AK56" s="1"/>
  <c r="AK103" i="20"/>
  <c r="AM103" s="1"/>
  <c r="AK102"/>
  <c r="AM102" s="1"/>
  <c r="AK101"/>
  <c r="AM101" s="1"/>
  <c r="AK100"/>
  <c r="AM100" s="1"/>
  <c r="AK97"/>
  <c r="AM97" s="1"/>
  <c r="AK96"/>
  <c r="AM96" s="1"/>
  <c r="AK95"/>
  <c r="AM95" s="1"/>
  <c r="AK93"/>
  <c r="AM93" s="1"/>
  <c r="AK92"/>
  <c r="AM92" s="1"/>
  <c r="AK90"/>
  <c r="AM90" s="1"/>
  <c r="AK89"/>
  <c r="AM89" s="1"/>
  <c r="AK88"/>
  <c r="AM88" s="1"/>
  <c r="AK82"/>
  <c r="AL78" i="23" l="1"/>
  <c r="AE120" i="16"/>
  <c r="AL71" i="23"/>
  <c r="AE113" i="16"/>
  <c r="AL77" i="23"/>
  <c r="AE119" i="16"/>
  <c r="AL69" i="23"/>
  <c r="AE111" i="16"/>
  <c r="AE117" s="1"/>
  <c r="AL79" i="23"/>
  <c r="AE121" i="16"/>
  <c r="I48" i="8"/>
  <c r="K48"/>
  <c r="V26" i="11"/>
  <c r="V27" s="1"/>
  <c r="T26"/>
  <c r="AM82" i="20"/>
  <c r="AK84"/>
  <c r="R27" i="11"/>
  <c r="J53" i="3"/>
  <c r="J57" s="1"/>
  <c r="J61" s="1"/>
  <c r="AE86" i="21"/>
  <c r="AK83"/>
  <c r="AK111" i="20"/>
  <c r="AM111" s="1"/>
  <c r="AE114"/>
  <c r="AE118" s="1"/>
  <c r="AD48" i="2"/>
  <c r="AI48" s="1"/>
  <c r="AG92" i="23"/>
  <c r="AG75"/>
  <c r="AG82" s="1"/>
  <c r="AK60" i="21"/>
  <c r="AM60" s="1"/>
  <c r="AE70"/>
  <c r="R30" i="11" s="1"/>
  <c r="G30" i="10" s="1"/>
  <c r="V14" i="2"/>
  <c r="AM86" i="21" l="1"/>
  <c r="AK86"/>
  <c r="I30" i="10"/>
  <c r="I35" s="1"/>
  <c r="I39" s="1"/>
  <c r="I42" s="1"/>
  <c r="G35"/>
  <c r="G39" s="1"/>
  <c r="G42" s="1"/>
  <c r="K30"/>
  <c r="K35" s="1"/>
  <c r="K39" s="1"/>
  <c r="K42" s="1"/>
  <c r="G29" i="7"/>
  <c r="T30" i="11"/>
  <c r="V30"/>
  <c r="V35" s="1"/>
  <c r="V39" s="1"/>
  <c r="C43" i="7"/>
  <c r="T27" i="11"/>
  <c r="AK114" i="20"/>
  <c r="AK118" s="1"/>
  <c r="AM118" s="1"/>
  <c r="R35" i="11"/>
  <c r="I35"/>
  <c r="I39" s="1"/>
  <c r="G35"/>
  <c r="G39" s="1"/>
  <c r="AM114" i="20"/>
  <c r="AE77" i="21"/>
  <c r="AK70"/>
  <c r="AM70"/>
  <c r="AG85" i="23"/>
  <c r="AG97" s="1"/>
  <c r="AG99" s="1"/>
  <c r="K29" i="7" l="1"/>
  <c r="G34"/>
  <c r="I29"/>
  <c r="C34"/>
  <c r="C47" s="1"/>
  <c r="C50" s="1"/>
  <c r="T35" i="11"/>
  <c r="T39" s="1"/>
  <c r="R39"/>
  <c r="AM77" i="21"/>
  <c r="AK77"/>
  <c r="AE80"/>
  <c r="AE90" s="1"/>
  <c r="AM90" s="1"/>
  <c r="AD38" i="2"/>
  <c r="AD37"/>
  <c r="AD36"/>
  <c r="AD33"/>
  <c r="AD32"/>
  <c r="AD31"/>
  <c r="AD30"/>
  <c r="AD29"/>
  <c r="AD28"/>
  <c r="AD26"/>
  <c r="AD25"/>
  <c r="AD18"/>
  <c r="C37" i="7" l="1"/>
  <c r="AD19" i="2"/>
  <c r="AA23" i="3"/>
  <c r="AA48" s="1"/>
  <c r="AA57" s="1"/>
  <c r="AA61" s="1"/>
  <c r="R42" i="11"/>
  <c r="G42"/>
  <c r="I42"/>
  <c r="AK80" i="21"/>
  <c r="AK90" s="1"/>
  <c r="AM80"/>
  <c r="L51" i="2"/>
  <c r="AD24"/>
  <c r="L42"/>
  <c r="L20"/>
  <c r="J15" i="6"/>
  <c r="V42" i="11" l="1"/>
  <c r="T42"/>
  <c r="L45" i="2"/>
  <c r="L55" s="1"/>
  <c r="AC14" i="19"/>
  <c r="J57" i="2" s="1"/>
  <c r="AA13" i="29"/>
  <c r="AD15" i="23"/>
  <c r="R57" i="2" s="1"/>
  <c r="C133" i="16"/>
  <c r="E80" i="23"/>
  <c r="E88"/>
  <c r="E79"/>
  <c r="E78"/>
  <c r="E77"/>
  <c r="E74"/>
  <c r="E73"/>
  <c r="E72"/>
  <c r="E71"/>
  <c r="E70"/>
  <c r="E69"/>
  <c r="E67"/>
  <c r="E66"/>
  <c r="E65"/>
  <c r="E59"/>
  <c r="E61" s="1"/>
  <c r="D83" i="19"/>
  <c r="D104"/>
  <c r="D103"/>
  <c r="D102"/>
  <c r="D101"/>
  <c r="D98"/>
  <c r="D97"/>
  <c r="D96"/>
  <c r="D95"/>
  <c r="D94"/>
  <c r="D93"/>
  <c r="D91"/>
  <c r="D90"/>
  <c r="D89"/>
  <c r="D85" l="1"/>
  <c r="C101" i="16"/>
  <c r="C103" s="1"/>
  <c r="C111"/>
  <c r="C115"/>
  <c r="C121"/>
  <c r="C109"/>
  <c r="C114"/>
  <c r="C120"/>
  <c r="C108"/>
  <c r="C113"/>
  <c r="C119"/>
  <c r="C124"/>
  <c r="C107"/>
  <c r="C112"/>
  <c r="C116"/>
  <c r="AG13" i="29"/>
  <c r="AI13" s="1"/>
  <c r="AA38"/>
  <c r="AG38" s="1"/>
  <c r="AI38" s="1"/>
  <c r="D99" i="19"/>
  <c r="D106" s="1"/>
  <c r="AD65" i="23"/>
  <c r="AJ65" s="1"/>
  <c r="AL65" s="1"/>
  <c r="E75"/>
  <c r="E82" s="1"/>
  <c r="AD70"/>
  <c r="AJ70" s="1"/>
  <c r="AL70" s="1"/>
  <c r="AD74"/>
  <c r="AJ74" s="1"/>
  <c r="AL74" s="1"/>
  <c r="AD88"/>
  <c r="AJ88" s="1"/>
  <c r="E92"/>
  <c r="AD59"/>
  <c r="AD73"/>
  <c r="AJ73" s="1"/>
  <c r="AL73" s="1"/>
  <c r="AD90"/>
  <c r="AJ90" s="1"/>
  <c r="AL90" s="1"/>
  <c r="AL57"/>
  <c r="AD67"/>
  <c r="AD72"/>
  <c r="AJ72" s="1"/>
  <c r="AL72" s="1"/>
  <c r="AD78"/>
  <c r="AJ78" s="1"/>
  <c r="AD89"/>
  <c r="AJ89" s="1"/>
  <c r="AL89" s="1"/>
  <c r="AD69"/>
  <c r="AJ69" s="1"/>
  <c r="AD79"/>
  <c r="AJ79" s="1"/>
  <c r="AD66"/>
  <c r="AJ66" s="1"/>
  <c r="AL66" s="1"/>
  <c r="AD71"/>
  <c r="AJ71" s="1"/>
  <c r="AD77"/>
  <c r="AJ77" s="1"/>
  <c r="AD80"/>
  <c r="AC94" i="19"/>
  <c r="AI94" s="1"/>
  <c r="AK94" s="1"/>
  <c r="AC104"/>
  <c r="AI104" s="1"/>
  <c r="AK104" s="1"/>
  <c r="AC97"/>
  <c r="AI97" s="1"/>
  <c r="AK97" s="1"/>
  <c r="AC91"/>
  <c r="AI91" s="1"/>
  <c r="AK91" s="1"/>
  <c r="AC89"/>
  <c r="AC98"/>
  <c r="AI98" s="1"/>
  <c r="AK98" s="1"/>
  <c r="AC103"/>
  <c r="AI103" s="1"/>
  <c r="AK103" s="1"/>
  <c r="AC90"/>
  <c r="AI90" s="1"/>
  <c r="AK90" s="1"/>
  <c r="AC95"/>
  <c r="AI95" s="1"/>
  <c r="AK95" s="1"/>
  <c r="AC101"/>
  <c r="AI101" s="1"/>
  <c r="AC83"/>
  <c r="AC85" s="1"/>
  <c r="AC102"/>
  <c r="AI102" s="1"/>
  <c r="AK102" s="1"/>
  <c r="AC96"/>
  <c r="AI96" s="1"/>
  <c r="AK96" s="1"/>
  <c r="AC112"/>
  <c r="AC113"/>
  <c r="AI113" s="1"/>
  <c r="AK113" s="1"/>
  <c r="AC93"/>
  <c r="AI93" s="1"/>
  <c r="AK93" s="1"/>
  <c r="AB51" i="2"/>
  <c r="AB34"/>
  <c r="AB42" s="1"/>
  <c r="AB20"/>
  <c r="X57"/>
  <c r="V48"/>
  <c r="K15" i="30"/>
  <c r="K16"/>
  <c r="K17"/>
  <c r="K18"/>
  <c r="K19"/>
  <c r="K20"/>
  <c r="K21"/>
  <c r="K14"/>
  <c r="I23"/>
  <c r="G23"/>
  <c r="E23"/>
  <c r="C23"/>
  <c r="Z133" i="18"/>
  <c r="Z135" s="1"/>
  <c r="X133"/>
  <c r="X135" s="1"/>
  <c r="V133"/>
  <c r="V135" s="1"/>
  <c r="T133"/>
  <c r="T135" s="1"/>
  <c r="R133"/>
  <c r="R135" s="1"/>
  <c r="P133"/>
  <c r="N133"/>
  <c r="L133"/>
  <c r="J133"/>
  <c r="H133"/>
  <c r="F133"/>
  <c r="AD61" i="23" l="1"/>
  <c r="AK101" i="19"/>
  <c r="AI83"/>
  <c r="AJ59" i="23"/>
  <c r="AI57" i="2"/>
  <c r="AK81" i="19"/>
  <c r="AI112"/>
  <c r="AK112" s="1"/>
  <c r="AC115"/>
  <c r="AI115" s="1"/>
  <c r="AK115" s="1"/>
  <c r="D109"/>
  <c r="D119" s="1"/>
  <c r="D121" s="1"/>
  <c r="F14" s="1"/>
  <c r="E85" i="23"/>
  <c r="E97" s="1"/>
  <c r="E99" s="1"/>
  <c r="G15" s="1"/>
  <c r="G99" s="1"/>
  <c r="I15" s="1"/>
  <c r="I99" s="1"/>
  <c r="K15" s="1"/>
  <c r="AI89" i="19"/>
  <c r="AC99"/>
  <c r="AJ80" i="23"/>
  <c r="AL80" s="1"/>
  <c r="AD75"/>
  <c r="AD82" s="1"/>
  <c r="AJ67"/>
  <c r="AL67" s="1"/>
  <c r="AD92"/>
  <c r="AJ92" s="1"/>
  <c r="AL92" s="1"/>
  <c r="P34" i="2"/>
  <c r="P42" s="1"/>
  <c r="P45" s="1"/>
  <c r="H51"/>
  <c r="H34"/>
  <c r="H42" s="1"/>
  <c r="P51"/>
  <c r="H20"/>
  <c r="AG57"/>
  <c r="K23" i="30"/>
  <c r="AB45" i="2"/>
  <c r="AB55" s="1"/>
  <c r="AB59" s="1"/>
  <c r="D133" i="18"/>
  <c r="D135" s="1"/>
  <c r="F14" s="1"/>
  <c r="F135" s="1"/>
  <c r="H14" s="1"/>
  <c r="H135" s="1"/>
  <c r="J14" s="1"/>
  <c r="AJ75" i="23" l="1"/>
  <c r="AL75" s="1"/>
  <c r="AI99" i="19"/>
  <c r="AK89"/>
  <c r="AI85"/>
  <c r="AK83"/>
  <c r="K99" i="23"/>
  <c r="M15" s="1"/>
  <c r="J135" i="18"/>
  <c r="L14" s="1"/>
  <c r="AL59" i="23"/>
  <c r="AJ61"/>
  <c r="AL61" s="1"/>
  <c r="F121" i="19"/>
  <c r="H14" s="1"/>
  <c r="H45" i="2"/>
  <c r="H55" s="1"/>
  <c r="P55"/>
  <c r="AC106" i="19"/>
  <c r="D34" i="2"/>
  <c r="D42" s="1"/>
  <c r="D51"/>
  <c r="AD85" i="23"/>
  <c r="AD97" s="1"/>
  <c r="AJ97" s="1"/>
  <c r="D20" i="2"/>
  <c r="AK85" i="19" l="1"/>
  <c r="AI106"/>
  <c r="AK106" s="1"/>
  <c r="AK99"/>
  <c r="M99" i="23"/>
  <c r="O15" s="1"/>
  <c r="O99" s="1"/>
  <c r="Q15" s="1"/>
  <c r="Q99" s="1"/>
  <c r="P59" i="2"/>
  <c r="D59" i="3"/>
  <c r="D61" s="1"/>
  <c r="L135" i="18"/>
  <c r="N14" s="1"/>
  <c r="N135" s="1"/>
  <c r="P14" s="1"/>
  <c r="P135" s="1"/>
  <c r="AC109" i="19"/>
  <c r="H121"/>
  <c r="J14" s="1"/>
  <c r="D45" i="2"/>
  <c r="D55" s="1"/>
  <c r="AL97" i="23"/>
  <c r="AI63" i="25"/>
  <c r="AI66" s="1"/>
  <c r="AN66" s="1"/>
  <c r="AK14" i="19"/>
  <c r="AI14"/>
  <c r="AI109" l="1"/>
  <c r="AK109" s="1"/>
  <c r="D59" i="2"/>
  <c r="J121" i="19"/>
  <c r="L14" s="1"/>
  <c r="AI76" i="25"/>
  <c r="AL63"/>
  <c r="AN63"/>
  <c r="AC119" i="19"/>
  <c r="AC121" s="1"/>
  <c r="L121" l="1"/>
  <c r="N14" s="1"/>
  <c r="AN76" i="25"/>
  <c r="AL66"/>
  <c r="AL76" s="1"/>
  <c r="AI119" i="19"/>
  <c r="AK119" s="1"/>
  <c r="AI121"/>
  <c r="AK121" s="1"/>
  <c r="N121" l="1"/>
  <c r="P14" s="1"/>
  <c r="H57" i="2" l="1"/>
  <c r="H59" s="1"/>
  <c r="P121" i="19"/>
  <c r="V40" i="2"/>
  <c r="B26" i="6" l="1"/>
  <c r="B29" s="1"/>
  <c r="B39" s="1"/>
  <c r="B42" s="1"/>
  <c r="C97" i="30" l="1"/>
  <c r="C150" s="1"/>
  <c r="E97" l="1"/>
  <c r="E150" s="1"/>
  <c r="I97"/>
  <c r="I150" s="1"/>
  <c r="G97"/>
  <c r="G150" s="1"/>
  <c r="K97" l="1"/>
  <c r="K150" s="1"/>
  <c r="E43" i="7" l="1"/>
  <c r="E34"/>
  <c r="E37" l="1"/>
  <c r="E47"/>
  <c r="E50" s="1"/>
  <c r="AD51" i="2" l="1"/>
  <c r="AD20"/>
  <c r="AD34"/>
  <c r="AE133" i="16"/>
  <c r="AE103" l="1"/>
  <c r="AD42" i="2"/>
  <c r="AE136" i="16"/>
  <c r="P19" i="6"/>
  <c r="H41"/>
  <c r="D41"/>
  <c r="L41" l="1"/>
  <c r="S41" s="1"/>
  <c r="U41" s="1"/>
  <c r="P26"/>
  <c r="P29" s="1"/>
  <c r="P39" s="1"/>
  <c r="P42" s="1"/>
  <c r="AD45" i="2"/>
  <c r="AD55" s="1"/>
  <c r="AD59" s="1"/>
  <c r="H25" i="6" l="1"/>
  <c r="H18"/>
  <c r="H19" s="1"/>
  <c r="H23" l="1"/>
  <c r="H26" s="1"/>
  <c r="H29" s="1"/>
  <c r="H39" s="1"/>
  <c r="H42" s="1"/>
  <c r="D25" l="1"/>
  <c r="L25" s="1"/>
  <c r="S25" s="1"/>
  <c r="U25" s="1"/>
  <c r="D24"/>
  <c r="D23"/>
  <c r="D18"/>
  <c r="D19" l="1"/>
  <c r="L18"/>
  <c r="S18" s="1"/>
  <c r="D26"/>
  <c r="U18" l="1"/>
  <c r="S19"/>
  <c r="U19" s="1"/>
  <c r="D29"/>
  <c r="D39" s="1"/>
  <c r="D42" s="1"/>
  <c r="W29" i="27"/>
  <c r="AJ15" i="23" l="1"/>
  <c r="AL15" s="1"/>
  <c r="AJ99" l="1"/>
  <c r="R48" i="2"/>
  <c r="R30"/>
  <c r="R37"/>
  <c r="R36"/>
  <c r="R28"/>
  <c r="R38"/>
  <c r="R50"/>
  <c r="R41"/>
  <c r="R33"/>
  <c r="R32"/>
  <c r="R31"/>
  <c r="R29"/>
  <c r="R26"/>
  <c r="R24"/>
  <c r="R19"/>
  <c r="R18"/>
  <c r="R20" l="1"/>
  <c r="X48"/>
  <c r="R49"/>
  <c r="R51" s="1"/>
  <c r="R25"/>
  <c r="R34" s="1"/>
  <c r="R42" s="1"/>
  <c r="AB132" i="16" l="1"/>
  <c r="R45" i="2"/>
  <c r="R55" s="1"/>
  <c r="R59" s="1"/>
  <c r="AJ82" i="23"/>
  <c r="AL82" s="1"/>
  <c r="AD99"/>
  <c r="AL99" s="1"/>
  <c r="I40" i="7" l="1"/>
  <c r="AJ85" i="23"/>
  <c r="AL85" s="1"/>
  <c r="N50" i="2" l="1"/>
  <c r="N52" i="3" s="1"/>
  <c r="N49" i="2"/>
  <c r="N51" i="3" s="1"/>
  <c r="N40" i="2"/>
  <c r="N37"/>
  <c r="N40" i="3" s="1"/>
  <c r="N19" i="2"/>
  <c r="N22" i="3" s="1"/>
  <c r="N18" i="2"/>
  <c r="N21" i="3" s="1"/>
  <c r="T21" s="1"/>
  <c r="N20"/>
  <c r="N18"/>
  <c r="N17"/>
  <c r="N23" l="1"/>
  <c r="G24" i="8"/>
  <c r="AD21" i="3"/>
  <c r="AF21" s="1"/>
  <c r="X40" i="2"/>
  <c r="N43" i="3"/>
  <c r="T43" s="1"/>
  <c r="T51"/>
  <c r="N53"/>
  <c r="N42" i="2"/>
  <c r="N51"/>
  <c r="N20"/>
  <c r="AA67" i="22"/>
  <c r="AA70" s="1"/>
  <c r="K24" i="8" l="1"/>
  <c r="I24"/>
  <c r="N45" i="3"/>
  <c r="N48" s="1"/>
  <c r="N57" s="1"/>
  <c r="N61" s="1"/>
  <c r="AI40" i="2"/>
  <c r="AG40"/>
  <c r="G40" i="8"/>
  <c r="AD51" i="3"/>
  <c r="G32" i="8"/>
  <c r="AD43" i="3"/>
  <c r="AF43" s="1"/>
  <c r="N45" i="2"/>
  <c r="N55" s="1"/>
  <c r="N59" s="1"/>
  <c r="K40" i="8" l="1"/>
  <c r="I40"/>
  <c r="I32"/>
  <c r="K32"/>
  <c r="AF51" i="3"/>
  <c r="V49" i="2" l="1"/>
  <c r="V50"/>
  <c r="I136" i="16" l="1"/>
  <c r="G136"/>
  <c r="E136"/>
  <c r="V51" i="2"/>
  <c r="J50"/>
  <c r="J49"/>
  <c r="AB133" i="16" l="1"/>
  <c r="J51" i="2"/>
  <c r="V41" l="1"/>
  <c r="V17"/>
  <c r="V29"/>
  <c r="V32"/>
  <c r="V16"/>
  <c r="V25"/>
  <c r="V28"/>
  <c r="V37"/>
  <c r="J30"/>
  <c r="V30"/>
  <c r="V24"/>
  <c r="V31"/>
  <c r="J26"/>
  <c r="V26"/>
  <c r="V33"/>
  <c r="V15"/>
  <c r="J32"/>
  <c r="V18"/>
  <c r="I117" i="16" l="1"/>
  <c r="G117"/>
  <c r="E117"/>
  <c r="V34" i="2"/>
  <c r="J37"/>
  <c r="J31"/>
  <c r="J29"/>
  <c r="J28"/>
  <c r="V38"/>
  <c r="AB109" i="16"/>
  <c r="AB111"/>
  <c r="AB112"/>
  <c r="V19" i="2"/>
  <c r="V36"/>
  <c r="AB114" i="16"/>
  <c r="AB113"/>
  <c r="AB108"/>
  <c r="AB115"/>
  <c r="J33" i="2"/>
  <c r="J24"/>
  <c r="J41"/>
  <c r="X41" s="1"/>
  <c r="J25"/>
  <c r="I126" i="16" l="1"/>
  <c r="I103"/>
  <c r="G126"/>
  <c r="E126"/>
  <c r="V20" i="2"/>
  <c r="AB107" i="16"/>
  <c r="J34" i="2"/>
  <c r="V42"/>
  <c r="AG41"/>
  <c r="AI41"/>
  <c r="J36"/>
  <c r="J19"/>
  <c r="J38"/>
  <c r="J18"/>
  <c r="G129" i="16" l="1"/>
  <c r="G140" s="1"/>
  <c r="I129"/>
  <c r="I140" s="1"/>
  <c r="E129"/>
  <c r="E140" s="1"/>
  <c r="V45" i="2"/>
  <c r="V55" s="1"/>
  <c r="J20"/>
  <c r="J42"/>
  <c r="J45" l="1"/>
  <c r="J55" s="1"/>
  <c r="J59" s="1"/>
  <c r="F38"/>
  <c r="F41" i="3" s="1"/>
  <c r="T41" s="1"/>
  <c r="F37" i="2"/>
  <c r="F36"/>
  <c r="F33"/>
  <c r="F32"/>
  <c r="F31"/>
  <c r="F30"/>
  <c r="F29"/>
  <c r="F28"/>
  <c r="F19"/>
  <c r="F17"/>
  <c r="F15"/>
  <c r="F18" i="3" l="1"/>
  <c r="T18" s="1"/>
  <c r="X29" i="2"/>
  <c r="AG29" s="1"/>
  <c r="F32" i="3"/>
  <c r="T32" s="1"/>
  <c r="AD32" s="1"/>
  <c r="AF32" s="1"/>
  <c r="X33" i="2"/>
  <c r="AI33" s="1"/>
  <c r="F36" i="3"/>
  <c r="T36" s="1"/>
  <c r="AD36" s="1"/>
  <c r="AF36" s="1"/>
  <c r="G31" i="8"/>
  <c r="AD41" i="3"/>
  <c r="AF41" s="1"/>
  <c r="F22"/>
  <c r="T22" s="1"/>
  <c r="X31" i="2"/>
  <c r="AG31" s="1"/>
  <c r="F34" i="3"/>
  <c r="T34" s="1"/>
  <c r="AD34" s="1"/>
  <c r="AF34" s="1"/>
  <c r="X37" i="2"/>
  <c r="F40" i="3"/>
  <c r="T40" s="1"/>
  <c r="AD40" s="1"/>
  <c r="AF40" s="1"/>
  <c r="X28" i="2"/>
  <c r="AG28" s="1"/>
  <c r="F31" i="3"/>
  <c r="T31" s="1"/>
  <c r="AD31" s="1"/>
  <c r="AF31" s="1"/>
  <c r="X32" i="2"/>
  <c r="AG32" s="1"/>
  <c r="F35" i="3"/>
  <c r="T35" s="1"/>
  <c r="AD35" s="1"/>
  <c r="AF35" s="1"/>
  <c r="F20"/>
  <c r="T20" s="1"/>
  <c r="X30" i="2"/>
  <c r="AG30" s="1"/>
  <c r="F33" i="3"/>
  <c r="T33" s="1"/>
  <c r="AD33" s="1"/>
  <c r="AF33" s="1"/>
  <c r="X36" i="2"/>
  <c r="AG36" s="1"/>
  <c r="F39" i="3"/>
  <c r="T39" s="1"/>
  <c r="X19" i="2"/>
  <c r="X38"/>
  <c r="X18"/>
  <c r="X17"/>
  <c r="X15"/>
  <c r="F16"/>
  <c r="F24"/>
  <c r="F27" i="3" s="1"/>
  <c r="F25" i="2"/>
  <c r="F28" i="3" s="1"/>
  <c r="T28" s="1"/>
  <c r="AD28" s="1"/>
  <c r="AF28" s="1"/>
  <c r="F50" i="2"/>
  <c r="F52" i="3" s="1"/>
  <c r="K31" i="8" l="1"/>
  <c r="I31"/>
  <c r="AG33" i="2"/>
  <c r="AI28"/>
  <c r="AI29"/>
  <c r="AI31"/>
  <c r="AI36"/>
  <c r="AI30"/>
  <c r="AI32"/>
  <c r="AI37"/>
  <c r="AD18" i="3"/>
  <c r="AF18" s="1"/>
  <c r="G21" i="8"/>
  <c r="F53" i="3"/>
  <c r="T52"/>
  <c r="T27"/>
  <c r="AD20"/>
  <c r="AF20" s="1"/>
  <c r="G23" i="8"/>
  <c r="AG37" i="2"/>
  <c r="AD22" i="3"/>
  <c r="AF22" s="1"/>
  <c r="G25" i="8"/>
  <c r="F19" i="3"/>
  <c r="T19" s="1"/>
  <c r="AD39"/>
  <c r="AF39" s="1"/>
  <c r="G30" i="8"/>
  <c r="F51" i="2"/>
  <c r="X24"/>
  <c r="AI24" s="1"/>
  <c r="AI19"/>
  <c r="AG19"/>
  <c r="X50"/>
  <c r="AI50" s="1"/>
  <c r="X49"/>
  <c r="AI49" s="1"/>
  <c r="AI38"/>
  <c r="AG38"/>
  <c r="X25"/>
  <c r="AG18"/>
  <c r="AI18"/>
  <c r="AI17"/>
  <c r="AG17"/>
  <c r="X16"/>
  <c r="AG15"/>
  <c r="AI15"/>
  <c r="F26"/>
  <c r="I23" i="8" l="1"/>
  <c r="K23"/>
  <c r="K30"/>
  <c r="I30"/>
  <c r="I25"/>
  <c r="K25"/>
  <c r="K21"/>
  <c r="I21"/>
  <c r="K43" i="7"/>
  <c r="I31" i="9"/>
  <c r="I47" s="1"/>
  <c r="I50" s="1"/>
  <c r="AD27" i="3"/>
  <c r="F34" i="2"/>
  <c r="F29" i="3"/>
  <c r="G22" i="8"/>
  <c r="AD19" i="3"/>
  <c r="AF19" s="1"/>
  <c r="AD52"/>
  <c r="AD53" s="1"/>
  <c r="G41" i="8"/>
  <c r="T53" i="3"/>
  <c r="AG24" i="2"/>
  <c r="AG50"/>
  <c r="AG49"/>
  <c r="X51"/>
  <c r="X26"/>
  <c r="AG25"/>
  <c r="AI25"/>
  <c r="AC133" i="18"/>
  <c r="AC135" s="1"/>
  <c r="AI16" i="2"/>
  <c r="AG16"/>
  <c r="K22" i="8" l="1"/>
  <c r="I22"/>
  <c r="K41"/>
  <c r="K42" s="1"/>
  <c r="I41"/>
  <c r="I42" s="1"/>
  <c r="G42"/>
  <c r="I43" i="7"/>
  <c r="AF52" i="3"/>
  <c r="AF53"/>
  <c r="F42" i="2"/>
  <c r="AF27" i="3"/>
  <c r="T29"/>
  <c r="F37"/>
  <c r="F45" s="1"/>
  <c r="AG51" i="2"/>
  <c r="AI51" s="1"/>
  <c r="AG26"/>
  <c r="AG34" s="1"/>
  <c r="AG42" s="1"/>
  <c r="AI26"/>
  <c r="X34"/>
  <c r="AE126" i="16"/>
  <c r="AE129" s="1"/>
  <c r="AB16"/>
  <c r="AH16" s="1"/>
  <c r="AJ16" s="1"/>
  <c r="K34" i="7" l="1"/>
  <c r="K37" s="1"/>
  <c r="AD29" i="3"/>
  <c r="T37"/>
  <c r="G43" i="9"/>
  <c r="G47" s="1"/>
  <c r="AI34" i="2"/>
  <c r="X42"/>
  <c r="AE140" i="16" l="1"/>
  <c r="AE142" s="1"/>
  <c r="K47" i="7"/>
  <c r="K50" s="1"/>
  <c r="AF29" i="3"/>
  <c r="AD37"/>
  <c r="G29" i="8"/>
  <c r="T45" i="3"/>
  <c r="J25" i="6"/>
  <c r="L24"/>
  <c r="S24" s="1"/>
  <c r="U24" s="1"/>
  <c r="J24"/>
  <c r="L23"/>
  <c r="S23" s="1"/>
  <c r="J23"/>
  <c r="L19"/>
  <c r="J18"/>
  <c r="J19" s="1"/>
  <c r="L15"/>
  <c r="H15"/>
  <c r="L14"/>
  <c r="H14"/>
  <c r="P14" s="1"/>
  <c r="U23" l="1"/>
  <c r="S26"/>
  <c r="U26" s="1"/>
  <c r="I29" i="8"/>
  <c r="I34" s="1"/>
  <c r="K29"/>
  <c r="K34" s="1"/>
  <c r="AF37" i="3"/>
  <c r="AD45"/>
  <c r="AF45" s="1"/>
  <c r="G34" i="8"/>
  <c r="J26" i="6"/>
  <c r="J29" s="1"/>
  <c r="J39" s="1"/>
  <c r="J42" s="1"/>
  <c r="L26"/>
  <c r="L29" s="1"/>
  <c r="L39" l="1"/>
  <c r="L42" s="1"/>
  <c r="S29"/>
  <c r="U29" s="1"/>
  <c r="S39" l="1"/>
  <c r="U39" s="1"/>
  <c r="S42" l="1"/>
  <c r="U42" s="1"/>
  <c r="AB134" i="16"/>
  <c r="AG48" i="2"/>
  <c r="AB124" i="16"/>
  <c r="AB123"/>
  <c r="AB121"/>
  <c r="AB120"/>
  <c r="AB119"/>
  <c r="AI42" i="2"/>
  <c r="AH115" i="16"/>
  <c r="AJ115" s="1"/>
  <c r="AH114"/>
  <c r="AJ114" s="1"/>
  <c r="AH113"/>
  <c r="AJ113" s="1"/>
  <c r="AH112"/>
  <c r="AJ112" s="1"/>
  <c r="AH111"/>
  <c r="AJ111" s="1"/>
  <c r="AH109"/>
  <c r="AJ109" s="1"/>
  <c r="AH108"/>
  <c r="AJ108" s="1"/>
  <c r="AB101"/>
  <c r="V12" i="2"/>
  <c r="P12"/>
  <c r="N12"/>
  <c r="L12"/>
  <c r="J12"/>
  <c r="H12"/>
  <c r="AD11"/>
  <c r="AA14" i="3" s="1"/>
  <c r="X11" i="2"/>
  <c r="N11"/>
  <c r="J11"/>
  <c r="R11" s="1"/>
  <c r="AB136" i="16" l="1"/>
  <c r="C136"/>
  <c r="AB116"/>
  <c r="C117"/>
  <c r="C126" s="1"/>
  <c r="AH101"/>
  <c r="AJ101" s="1"/>
  <c r="AH121"/>
  <c r="AJ121" s="1"/>
  <c r="AH120"/>
  <c r="AJ120" s="1"/>
  <c r="AH123"/>
  <c r="AJ123" s="1"/>
  <c r="AH124"/>
  <c r="AJ124" s="1"/>
  <c r="AH119"/>
  <c r="AJ119" s="1"/>
  <c r="AH134"/>
  <c r="AJ134" s="1"/>
  <c r="AH107"/>
  <c r="R12" i="2"/>
  <c r="AB117" i="16" l="1"/>
  <c r="AB126" s="1"/>
  <c r="AJ107"/>
  <c r="AH133"/>
  <c r="AJ133" s="1"/>
  <c r="AH116"/>
  <c r="AJ116" s="1"/>
  <c r="AH117" l="1"/>
  <c r="AJ117" s="1"/>
  <c r="AH136"/>
  <c r="AJ136" s="1"/>
  <c r="AH126"/>
  <c r="AJ126" s="1"/>
  <c r="I34" i="7" l="1"/>
  <c r="I47" s="1"/>
  <c r="I50" s="1"/>
  <c r="F14" i="2"/>
  <c r="F17" i="3" l="1"/>
  <c r="X14" i="2"/>
  <c r="F20"/>
  <c r="F45" s="1"/>
  <c r="F55" s="1"/>
  <c r="F59" s="1"/>
  <c r="AI133" i="18"/>
  <c r="AK133" s="1"/>
  <c r="F23" i="3" l="1"/>
  <c r="F48" s="1"/>
  <c r="F57" s="1"/>
  <c r="F61" s="1"/>
  <c r="T17"/>
  <c r="AG14" i="2"/>
  <c r="AG20" s="1"/>
  <c r="AI14"/>
  <c r="C129" i="16"/>
  <c r="C140" s="1"/>
  <c r="C142" s="1"/>
  <c r="E16" s="1"/>
  <c r="E142" s="1"/>
  <c r="G16" s="1"/>
  <c r="G142" s="1"/>
  <c r="I16" s="1"/>
  <c r="I142" s="1"/>
  <c r="K16" s="1"/>
  <c r="K142" s="1"/>
  <c r="M16" s="1"/>
  <c r="M142" s="1"/>
  <c r="O16" s="1"/>
  <c r="O142" s="1"/>
  <c r="AB103"/>
  <c r="X20" i="2"/>
  <c r="X45" s="1"/>
  <c r="AI45" s="1"/>
  <c r="G47" i="7"/>
  <c r="G50" s="1"/>
  <c r="AI135" i="18"/>
  <c r="AK135" s="1"/>
  <c r="AB129" i="16" l="1"/>
  <c r="AB140" s="1"/>
  <c r="AB142" s="1"/>
  <c r="G20" i="8"/>
  <c r="G26" s="1"/>
  <c r="AD17" i="3"/>
  <c r="T23"/>
  <c r="T48" s="1"/>
  <c r="T57" s="1"/>
  <c r="T61" s="1"/>
  <c r="AI20" i="2"/>
  <c r="AG45"/>
  <c r="AG55" s="1"/>
  <c r="AG59" s="1"/>
  <c r="X55"/>
  <c r="G37" i="7"/>
  <c r="X59" i="2" l="1"/>
  <c r="AI59" s="1"/>
  <c r="AI55"/>
  <c r="K20" i="8"/>
  <c r="K26" s="1"/>
  <c r="I20"/>
  <c r="I26" s="1"/>
  <c r="I37" i="7"/>
  <c r="G50" i="9"/>
  <c r="G46" i="8"/>
  <c r="G49" s="1"/>
  <c r="AF17" i="3"/>
  <c r="AD23"/>
  <c r="AD48" s="1"/>
  <c r="K46" i="8" l="1"/>
  <c r="K49" s="1"/>
  <c r="K37"/>
  <c r="AH103" i="16"/>
  <c r="AJ103" s="1"/>
  <c r="AF23" i="3"/>
  <c r="G37" i="8"/>
  <c r="AH129" i="16"/>
  <c r="AJ129" s="1"/>
  <c r="I46" i="8" l="1"/>
  <c r="I49" s="1"/>
  <c r="I37"/>
  <c r="AD57" i="3"/>
  <c r="AF48"/>
  <c r="AH140" i="16"/>
  <c r="AJ140" s="1"/>
  <c r="AF57" i="3" l="1"/>
  <c r="AD61"/>
  <c r="AF61" s="1"/>
  <c r="AH142" i="16"/>
  <c r="AJ142" s="1"/>
  <c r="B44" i="22"/>
  <c r="B55" s="1"/>
  <c r="B67" s="1"/>
  <c r="B70" s="1"/>
  <c r="D12" s="1"/>
  <c r="D70" s="1"/>
  <c r="F12" s="1"/>
  <c r="F70" s="1"/>
  <c r="H12" s="1"/>
  <c r="H70" s="1"/>
  <c r="J12" s="1"/>
  <c r="J70" s="1"/>
  <c r="L12" s="1"/>
  <c r="L70" l="1"/>
  <c r="N12" s="1"/>
  <c r="L57" i="2" l="1"/>
  <c r="V57" s="1"/>
  <c r="V59" s="1"/>
  <c r="N70" i="22"/>
  <c r="L59" i="2" l="1"/>
  <c r="L59" i="3"/>
  <c r="L61" s="1"/>
  <c r="R59" l="1"/>
  <c r="R61" s="1"/>
</calcChain>
</file>

<file path=xl/sharedStrings.xml><?xml version="1.0" encoding="utf-8"?>
<sst xmlns="http://schemas.openxmlformats.org/spreadsheetml/2006/main" count="3973" uniqueCount="1702">
  <si>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</si>
  <si>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</si>
  <si>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</si>
  <si>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</si>
  <si>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</si>
  <si>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</si>
  <si>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</si>
  <si>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</si>
  <si>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</si>
  <si>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</si>
  <si>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</si>
  <si>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</si>
  <si>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</si>
  <si>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</si>
  <si>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</si>
  <si>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</si>
  <si>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</si>
  <si>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</si>
  <si>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</si>
  <si>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</si>
  <si>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</si>
  <si>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</si>
  <si>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</si>
  <si>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</si>
  <si>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</si>
  <si>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</si>
  <si>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</si>
  <si>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</si>
  <si>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</si>
  <si>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</si>
  <si>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</si>
  <si>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</si>
  <si>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</si>
  <si>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</si>
  <si>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</si>
  <si>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</si>
  <si>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</si>
  <si>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</si>
  <si>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</si>
  <si>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</si>
  <si>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</si>
  <si>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</si>
  <si>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</si>
  <si>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</si>
  <si>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</si>
  <si>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</si>
  <si>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</si>
  <si>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</si>
  <si>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</si>
  <si>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</si>
  <si>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</si>
  <si>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</si>
  <si>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</si>
  <si>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</si>
  <si>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</si>
  <si>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</si>
  <si>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</si>
  <si>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</si>
  <si>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</si>
  <si>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</si>
  <si>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</si>
  <si>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</si>
  <si>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</si>
  <si>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</si>
  <si>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</si>
  <si>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</si>
  <si>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</si>
  <si>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</si>
  <si>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</si>
  <si>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</si>
  <si>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</si>
  <si>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</si>
  <si>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</si>
  <si>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</si>
  <si>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</si>
  <si>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</si>
  <si>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</si>
  <si>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</si>
  <si>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</si>
  <si>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</si>
  <si>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</si>
  <si>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</si>
  <si>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</si>
  <si>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</si>
  <si>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</si>
  <si>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</si>
  <si>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</si>
  <si>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</si>
  <si>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</si>
  <si>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</si>
  <si>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</si>
  <si>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</si>
  <si>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</si>
  <si>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</si>
  <si>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</si>
  <si>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</si>
  <si>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</si>
  <si>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</si>
  <si>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</si>
  <si>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</si>
  <si>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</si>
  <si>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</si>
  <si>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</si>
  <si>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</si>
  <si>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</si>
  <si>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</si>
  <si>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</si>
  <si>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</si>
  <si>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</si>
  <si>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</si>
  <si>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</si>
  <si>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</si>
  <si>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</si>
  <si>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</si>
  <si>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</si>
  <si>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</si>
  <si>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</si>
  <si>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</si>
  <si>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</si>
  <si>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</si>
  <si>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</si>
  <si>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</si>
  <si>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</si>
  <si>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</si>
  <si>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</si>
  <si>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</si>
  <si>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</si>
  <si>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</si>
  <si>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</si>
  <si>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</si>
  <si>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2014</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</si>
  <si>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</si>
  <si>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</si>
  <si>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</si>
  <si>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</si>
  <si>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</si>
  <si>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</si>
  <si>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</si>
  <si>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</si>
  <si>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</si>
  <si>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</si>
  <si>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</si>
  <si>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</si>
  <si>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</si>
  <si>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</si>
  <si>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</si>
  <si>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</si>
  <si>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</si>
  <si>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</si>
  <si>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</si>
  <si>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</si>
  <si>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</si>
  <si>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</si>
  <si>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</si>
  <si>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</si>
  <si>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</si>
  <si>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</si>
  <si>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</si>
  <si>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</si>
  <si>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</si>
  <si>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</si>
  <si>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</si>
  <si>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</si>
  <si>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</si>
  <si>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</si>
  <si>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</si>
  <si>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</si>
  <si>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</si>
  <si>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</si>
  <si>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</si>
  <si>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</si>
  <si>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</si>
  <si>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</si>
  <si>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</si>
  <si>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</si>
  <si>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</si>
  <si>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</si>
  <si>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</si>
  <si>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</si>
  <si>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</si>
  <si>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</si>
  <si>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</si>
  <si>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</si>
  <si>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</si>
  <si>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</si>
  <si>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</si>
  <si>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      Intra-Fund transfer eliminations represent transfers from Special Revenue-Federal funds.</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</si>
  <si>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</si>
  <si>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</si>
  <si>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</si>
  <si>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</si>
  <si>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</si>
  <si>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</si>
  <si>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    Intra-Fund transfer eliminations represent transfers to Special Revenue-State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</si>
  <si>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</si>
  <si>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</si>
  <si>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</si>
  <si>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</si>
  <si>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</si>
  <si>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</si>
  <si>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</si>
  <si>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</si>
  <si>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</si>
  <si>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</si>
  <si>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</si>
  <si>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 xml:space="preserve">   Disbursements and Other Financing Uses</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</si>
  <si>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</si>
  <si>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</si>
  <si>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</si>
  <si>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</si>
  <si>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</si>
  <si>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</si>
  <si>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</si>
  <si>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</si>
  <si>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</si>
  <si>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</si>
  <si>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</si>
  <si>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</si>
  <si>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</si>
  <si>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</si>
  <si>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</si>
  <si>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</si>
  <si>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</si>
  <si>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</si>
  <si>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</si>
  <si>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</si>
  <si>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</si>
  <si>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</si>
  <si>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  Intra-Fund transfer eliminations represent transfers to Capital Projects-State funds.</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</si>
  <si>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</si>
  <si>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</si>
  <si>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</si>
  <si>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</si>
  <si>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</si>
  <si>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</si>
  <si>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</si>
  <si>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</si>
  <si>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</si>
  <si>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</si>
  <si>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</si>
  <si>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</si>
  <si>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</si>
  <si>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</si>
  <si>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</si>
  <si>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</si>
  <si>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</si>
  <si>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</si>
  <si>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</si>
  <si>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</si>
  <si>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</si>
  <si>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</si>
  <si>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</si>
  <si>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</si>
  <si>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</si>
  <si>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</si>
  <si>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</si>
  <si>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</si>
  <si>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</si>
  <si>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</si>
  <si>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</si>
  <si>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</si>
  <si>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</si>
  <si>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</si>
  <si>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</si>
  <si>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</si>
  <si>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</si>
  <si>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</si>
  <si>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</si>
  <si>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</si>
  <si>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</si>
  <si>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</si>
  <si>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</si>
  <si>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</si>
  <si>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</si>
  <si>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</si>
  <si>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</si>
  <si>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</si>
  <si>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</si>
  <si>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</si>
  <si>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</si>
  <si>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 </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</si>
  <si>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</si>
  <si>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</si>
  <si>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</si>
  <si>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</si>
  <si>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</si>
  <si>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</si>
  <si>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</si>
  <si>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</si>
  <si>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</si>
  <si>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</si>
  <si>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</si>
  <si>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</si>
  <si>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</si>
  <si>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</si>
  <si>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</si>
  <si>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</si>
  <si>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</si>
  <si>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</si>
  <si>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</si>
  <si>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</si>
  <si>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</si>
  <si>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</si>
  <si>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</si>
  <si>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</si>
  <si>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</si>
  <si>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</si>
  <si>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</si>
  <si>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</si>
  <si>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</si>
  <si>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</si>
  <si>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</si>
  <si>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</si>
  <si>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</si>
  <si>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</si>
  <si>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</si>
  <si>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</si>
  <si>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</si>
  <si>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</si>
  <si>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</si>
  <si>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</si>
  <si>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</si>
  <si>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</si>
  <si>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</si>
  <si>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</si>
  <si>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</si>
  <si>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</si>
  <si>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</si>
  <si>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</si>
  <si>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</si>
  <si>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</si>
  <si>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</si>
  <si>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</si>
  <si>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</si>
  <si>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</si>
  <si>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</si>
  <si>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</si>
  <si>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</si>
  <si>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</si>
  <si>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</si>
  <si>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</si>
  <si>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</si>
  <si>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</si>
  <si>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</si>
  <si>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</si>
  <si>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</si>
  <si>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</si>
  <si>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</si>
  <si>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</si>
  <si>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</si>
  <si>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</si>
  <si>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30700-30749-State Housing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</si>
  <si>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</si>
  <si>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</si>
  <si>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</si>
  <si>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</si>
  <si>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</si>
  <si>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</si>
  <si>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</si>
  <si>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</si>
  <si>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</si>
  <si>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</si>
  <si>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</si>
  <si>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</si>
  <si>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</si>
  <si>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</si>
  <si>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</si>
  <si>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</si>
  <si>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</si>
  <si>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</si>
  <si>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</si>
  <si>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</si>
  <si>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</si>
  <si>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</si>
  <si>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</si>
  <si>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</si>
  <si>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</si>
  <si>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</si>
  <si>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</si>
  <si>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</si>
  <si>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</si>
  <si>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</si>
  <si>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</si>
  <si>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</si>
  <si>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</si>
  <si>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</si>
  <si>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</si>
  <si>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</si>
  <si>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</si>
  <si>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</si>
  <si>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</si>
  <si>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</si>
  <si>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</si>
  <si>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</si>
  <si>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</si>
  <si>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</si>
  <si>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 xml:space="preserve">     TOTAL PRIVATE PURPOSE TRUST FUNDS</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</si>
  <si>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</si>
  <si>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</si>
  <si>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</si>
  <si>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</si>
  <si>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</si>
  <si>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</si>
  <si>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</si>
  <si>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</si>
  <si>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</si>
  <si>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</si>
  <si>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</si>
  <si>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TOTAL AGENCY FUNDS</t>
  </si>
  <si>
    <t>TOTAL FIDUCIARY FUNDS</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</si>
  <si>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</si>
  <si>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</si>
  <si>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</si>
  <si>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</si>
  <si>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</si>
  <si>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</si>
  <si>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</si>
  <si>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</si>
  <si>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</si>
  <si>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</si>
  <si>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</si>
  <si>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 xml:space="preserve"> MONTH OF</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</si>
  <si>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</si>
  <si>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</si>
  <si>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</si>
  <si>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</si>
  <si>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</si>
  <si>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</si>
  <si>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</si>
  <si>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</si>
  <si>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</si>
  <si>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</si>
  <si>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</si>
  <si>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</si>
  <si>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</si>
  <si>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</si>
  <si>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</si>
  <si>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</si>
  <si>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</si>
  <si>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</si>
  <si>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</si>
  <si>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</si>
  <si>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</si>
  <si>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</si>
  <si>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</si>
  <si>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</si>
  <si>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</si>
  <si>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</si>
  <si>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</si>
  <si>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</si>
  <si>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</si>
  <si>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</si>
  <si>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</si>
  <si>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</si>
  <si>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</si>
  <si>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</si>
  <si>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</si>
  <si>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</si>
  <si>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</si>
  <si>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</si>
  <si>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</si>
  <si>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</si>
  <si>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</si>
  <si>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</si>
  <si>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</si>
  <si>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</si>
  <si>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</si>
  <si>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</si>
  <si>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</si>
  <si>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</si>
  <si>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</si>
  <si>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</si>
  <si>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</si>
  <si>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</si>
  <si>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</si>
  <si>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</si>
  <si>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</si>
  <si>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Consolidated Service Contract Refunding</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</si>
  <si>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</si>
  <si>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</si>
  <si>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</si>
  <si>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</si>
  <si>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</si>
  <si>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</si>
  <si>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State Facilities and Equipment</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</si>
  <si>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</si>
  <si>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</si>
  <si>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</si>
  <si>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</si>
  <si>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</si>
  <si>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</si>
  <si>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</si>
  <si>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</si>
  <si>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</si>
  <si>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</si>
  <si>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</si>
  <si>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</si>
  <si>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</si>
  <si>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</si>
  <si>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</si>
  <si>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</si>
  <si>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</si>
  <si>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</si>
  <si>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</si>
  <si>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</si>
  <si>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</si>
  <si>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</si>
  <si>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</si>
  <si>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</si>
  <si>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</si>
  <si>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</si>
  <si>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</si>
  <si>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</si>
  <si>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</si>
  <si>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PENSION INVESTMENT AND PUBLIC FINANCE</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</si>
  <si>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</si>
  <si>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</si>
  <si>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</si>
  <si>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</si>
  <si>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</si>
  <si>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</si>
  <si>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</si>
  <si>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</si>
  <si>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</si>
  <si>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</si>
  <si>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</si>
  <si>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</si>
  <si>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</si>
  <si>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</si>
  <si>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</si>
  <si>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</si>
  <si>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</si>
  <si>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</si>
  <si>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</si>
  <si>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</si>
  <si>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</si>
  <si>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</si>
  <si>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</si>
  <si>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</si>
  <si>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</si>
  <si>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</si>
  <si>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</si>
  <si>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</si>
  <si>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</si>
  <si>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</si>
  <si>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</si>
  <si>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</si>
  <si>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</si>
  <si>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</si>
  <si>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</si>
  <si>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</si>
  <si>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</si>
  <si>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</si>
  <si>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</si>
  <si>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</si>
  <si>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</si>
  <si>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</si>
  <si>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</si>
  <si>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</si>
  <si>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</si>
  <si>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</si>
  <si>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</si>
  <si>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</si>
  <si>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</si>
  <si>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</si>
  <si>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</si>
  <si>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</si>
  <si>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</si>
  <si>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</si>
  <si>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</si>
  <si>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</si>
  <si>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</si>
  <si>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</si>
  <si>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</si>
  <si>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ELDERLY PHARMACEUTICAL INS COVERAGE PRG</t>
  </si>
  <si>
    <t xml:space="preserve">HEALTH CARE FINANCING PROGRAM          </t>
  </si>
  <si>
    <t xml:space="preserve">     HEALTH CARE FINANCING </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</si>
  <si>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</si>
  <si>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</si>
  <si>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</si>
  <si>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</si>
  <si>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</si>
  <si>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</si>
  <si>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</si>
  <si>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</si>
  <si>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</si>
  <si>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</si>
  <si>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</si>
  <si>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</si>
  <si>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</si>
  <si>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</si>
  <si>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</si>
  <si>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</si>
  <si>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</si>
  <si>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</si>
  <si>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</si>
  <si>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</si>
  <si>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</si>
  <si>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</si>
  <si>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</si>
  <si>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</si>
  <si>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</si>
  <si>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</si>
  <si>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</si>
  <si>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</si>
  <si>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</si>
  <si>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</si>
  <si>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</si>
  <si>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</si>
  <si>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</si>
  <si>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</si>
  <si>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</si>
  <si>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</si>
  <si>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</si>
  <si>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</si>
  <si>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</si>
  <si>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</si>
  <si>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</si>
  <si>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</si>
  <si>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</si>
  <si>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</si>
  <si>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</si>
  <si>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</si>
  <si>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</si>
  <si>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</si>
  <si>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</si>
  <si>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</si>
  <si>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</si>
  <si>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</si>
  <si>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</si>
  <si>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</si>
  <si>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</si>
  <si>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</si>
  <si>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</si>
  <si>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</si>
  <si>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</si>
  <si>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11.557</t>
  </si>
  <si>
    <t>Department of Commerce</t>
  </si>
  <si>
    <t>Broadband Technology Opportunities Program (BTOP)</t>
  </si>
  <si>
    <t>45.025</t>
  </si>
  <si>
    <t>National Endowment for the Arts</t>
  </si>
  <si>
    <t>Promotion of the Arts - Partnership Agreements</t>
  </si>
  <si>
    <t>84.033</t>
  </si>
  <si>
    <t>Department of Education</t>
  </si>
  <si>
    <t>Federal Work-Study Program</t>
  </si>
  <si>
    <t>84.063</t>
  </si>
  <si>
    <t>Federal Pell Grant Program</t>
  </si>
  <si>
    <t>84.384</t>
  </si>
  <si>
    <t xml:space="preserve">Statewide Data Systems, Recovery Act </t>
  </si>
  <si>
    <t>84.385</t>
  </si>
  <si>
    <t xml:space="preserve">Teacher Incentive Fund, Recovery Act </t>
  </si>
  <si>
    <t>84.386</t>
  </si>
  <si>
    <t xml:space="preserve">Education Technology State Grants, Recovery Act </t>
  </si>
  <si>
    <t>84.387</t>
  </si>
  <si>
    <t xml:space="preserve">Education for Homeless Children and Youth, Recovery Act </t>
  </si>
  <si>
    <t>84.388</t>
  </si>
  <si>
    <t xml:space="preserve">School Improvement Grants, Recovery Act </t>
  </si>
  <si>
    <t>84.389</t>
  </si>
  <si>
    <t xml:space="preserve">Title I Grants to Local Education Agencies, Recovery Act </t>
  </si>
  <si>
    <t xml:space="preserve">Rehabilitation Services - Vocational Rehabilitation Grants to States, Recovery Act </t>
  </si>
  <si>
    <t>84.391</t>
  </si>
  <si>
    <t xml:space="preserve">Special Education Grants to States, Recovery Act </t>
  </si>
  <si>
    <t>84.392</t>
  </si>
  <si>
    <t xml:space="preserve">Special Education - Preschool Grants, Recovery Act </t>
  </si>
  <si>
    <t>84.394</t>
  </si>
  <si>
    <t xml:space="preserve">State Fiscal Stabilization Fund (SFSF) - Education State Grants, Recovery Act </t>
  </si>
  <si>
    <t>84.395</t>
  </si>
  <si>
    <t xml:space="preserve">State Fiscal Stabilization Fund (SFSF) - Race-to-the-Top Incentive Grants, Recovery Act </t>
  </si>
  <si>
    <t>84.397</t>
  </si>
  <si>
    <t xml:space="preserve">State Fiscal Stabilization Fund (SFSF) - Government Services, Recovery Act </t>
  </si>
  <si>
    <t>84.398</t>
  </si>
  <si>
    <t xml:space="preserve">Independent Living State Grants, Recovery Act </t>
  </si>
  <si>
    <t>84.399</t>
  </si>
  <si>
    <t xml:space="preserve">Independent Living Services for Older Individuals Who are Blind, Recovery Act </t>
  </si>
  <si>
    <t>84.410</t>
  </si>
  <si>
    <t>Education Jobs Fund</t>
  </si>
  <si>
    <t>93.407</t>
  </si>
  <si>
    <t>Health and Human Services</t>
  </si>
  <si>
    <t>ARRA - Scholarships for Disadvantaged Students</t>
  </si>
  <si>
    <t>Total Education</t>
  </si>
  <si>
    <t>Energy and Environment</t>
  </si>
  <si>
    <t>10.086</t>
  </si>
  <si>
    <t>Aquaculture Grants Program (AGP)</t>
  </si>
  <si>
    <t>10.688</t>
  </si>
  <si>
    <t>Recovery Act  of 2009: Wildland Fire Management</t>
  </si>
  <si>
    <t>66.039</t>
  </si>
  <si>
    <t>Environmental Protection Agency</t>
  </si>
  <si>
    <t>National Clean Diesel Emissions Reduction Program</t>
  </si>
  <si>
    <t>66.040</t>
  </si>
  <si>
    <t>State Clean Diesel Grant Program</t>
  </si>
  <si>
    <t>Water Quality Management Planning</t>
  </si>
  <si>
    <t>Capitalization Grants for Clean Water State Revolving Funds</t>
  </si>
  <si>
    <t>66.468</t>
  </si>
  <si>
    <t>Capitalization Grants for Drinking Water State Revolving Funds</t>
  </si>
  <si>
    <t>66.805</t>
  </si>
  <si>
    <t>Leaking Underground Storage Tank Trust Fund Corrective Action Program</t>
  </si>
  <si>
    <t>81.042</t>
  </si>
  <si>
    <t>Department of Energy</t>
  </si>
  <si>
    <t>Weatherization Assistance for Low-Income Persons</t>
  </si>
  <si>
    <t>81.122</t>
  </si>
  <si>
    <t>Electricity Delivery and Energy Reliability, Research, Development and Analysis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</si>
  <si>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</si>
  <si>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</si>
  <si>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</si>
  <si>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</si>
  <si>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</si>
  <si>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</si>
  <si>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</si>
  <si>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</si>
  <si>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</si>
  <si>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</si>
  <si>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</si>
  <si>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</si>
  <si>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</si>
  <si>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93.658</t>
  </si>
  <si>
    <t>Foster Care- Title IV-E</t>
  </si>
  <si>
    <t>93.659</t>
  </si>
  <si>
    <t>Adoption Assistance</t>
  </si>
  <si>
    <t>93.708</t>
  </si>
  <si>
    <t>ARRA - Head Start</t>
  </si>
  <si>
    <t>93.712</t>
  </si>
  <si>
    <t>ARRA - Immunization</t>
  </si>
  <si>
    <t>93.713</t>
  </si>
  <si>
    <t>ARRA - Child Care and Development Block Grant</t>
  </si>
  <si>
    <t>93.714</t>
  </si>
  <si>
    <t>ARRA - Emergency Contingency Fund for Temporary Assistance for Needy Families (TANF) 
State Programs</t>
  </si>
  <si>
    <t>93.725</t>
  </si>
  <si>
    <t>ARRA - Communities Putting Prevention to Work: Chronic Disease Self-Management Program</t>
  </si>
  <si>
    <t>93.778</t>
  </si>
  <si>
    <t>94.006</t>
  </si>
  <si>
    <t>Corporation for National and Community Service</t>
  </si>
  <si>
    <t>AmeriCorps</t>
  </si>
  <si>
    <t>Total Health and Social Services</t>
  </si>
  <si>
    <t>Housing</t>
  </si>
  <si>
    <t>93.710</t>
  </si>
  <si>
    <t>ARRA - Community Services Block Grant</t>
  </si>
  <si>
    <t>Total Housing</t>
  </si>
  <si>
    <t>Labor</t>
  </si>
  <si>
    <t>Department of Labor</t>
  </si>
  <si>
    <t>Employment Service/Wanger-Peyser Funded Activities</t>
  </si>
  <si>
    <t>17.225</t>
  </si>
  <si>
    <t>Unemployment Insurance</t>
  </si>
  <si>
    <t>17.235</t>
  </si>
  <si>
    <t>Senior Community Service - Employment Program</t>
  </si>
  <si>
    <t>Workforce Investment Act  - Adult Program</t>
  </si>
  <si>
    <t>17.259</t>
  </si>
  <si>
    <t>Workforce Investment Act  - Youth Activities</t>
  </si>
  <si>
    <t>17.260</t>
  </si>
  <si>
    <t>Workforce Investment Act  - Dislocated Workers</t>
  </si>
  <si>
    <t>17.275</t>
  </si>
  <si>
    <t>Program of Competitive Grants for Worker Training and Placement in High Growth and 
Emerging Industry Sectors</t>
  </si>
  <si>
    <t>Total Labor</t>
  </si>
  <si>
    <t>Public Protection</t>
  </si>
  <si>
    <t>11.558</t>
  </si>
  <si>
    <t>State Broadband Data and Development Grant Program</t>
  </si>
  <si>
    <t>12.401</t>
  </si>
  <si>
    <t>Department of Defense</t>
  </si>
  <si>
    <t>National Guard Military Operations and Maintenance (O&amp;M) Projects</t>
  </si>
  <si>
    <t>16.588</t>
  </si>
  <si>
    <t>Department of Justice</t>
  </si>
  <si>
    <t>Violence Against Women Formula Grants</t>
  </si>
  <si>
    <t>16.800</t>
  </si>
  <si>
    <t>Recovery Act  - Internet Crimes against Children Task Force Program (ICAC)</t>
  </si>
  <si>
    <t>16.801</t>
  </si>
  <si>
    <t>Recovery Act  - State Victim Assistance Formula Grant Program</t>
  </si>
  <si>
    <t>16.802</t>
  </si>
  <si>
    <t>Recovery Act  - State Victim Compensation Formula Grant Program</t>
  </si>
  <si>
    <t>16.803</t>
  </si>
  <si>
    <t>Recovery Act  - Edward Byrne Memorial Justice Assistance Grant (JAG) Program/
Grants to States and Territories</t>
  </si>
  <si>
    <t>Total Public Protection</t>
  </si>
  <si>
    <t>Transportation</t>
  </si>
  <si>
    <t>20.205</t>
  </si>
  <si>
    <t>Department of Transportation</t>
  </si>
  <si>
    <t>Highway Planning and Construction</t>
  </si>
  <si>
    <t>20.319</t>
  </si>
  <si>
    <t>20.509</t>
  </si>
  <si>
    <t>Formula Grants for Other Than Urbanized Areas</t>
  </si>
  <si>
    <t>Total Transportation</t>
  </si>
  <si>
    <t>TOTAL ARRA DISBURSEMENTS</t>
  </si>
  <si>
    <t>(*)On February 17, 2009, President Obama signed into law the American Recovery and Reinvestment</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</si>
  <si>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</si>
  <si>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</si>
  <si>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</si>
  <si>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</si>
  <si>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</si>
  <si>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</si>
  <si>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</si>
  <si>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</si>
  <si>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</si>
  <si>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</si>
  <si>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</si>
  <si>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</si>
  <si>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</si>
  <si>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</si>
  <si>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</si>
  <si>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</si>
  <si>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</si>
  <si>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</si>
  <si>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</si>
  <si>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</si>
  <si>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</si>
  <si>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</si>
  <si>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</si>
  <si>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</si>
  <si>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</si>
  <si>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</si>
  <si>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</si>
  <si>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</si>
  <si>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</si>
  <si>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</si>
  <si>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</si>
  <si>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</si>
  <si>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</si>
  <si>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</si>
  <si>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</si>
  <si>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</si>
  <si>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</si>
  <si>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</si>
  <si>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</si>
  <si>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</si>
  <si>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</si>
  <si>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</si>
  <si>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</si>
  <si>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</si>
  <si>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</si>
  <si>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</si>
  <si>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</si>
  <si>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</si>
  <si>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</si>
  <si>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</si>
  <si>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</si>
  <si>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</si>
  <si>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</si>
  <si>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</si>
  <si>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</si>
  <si>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</si>
  <si>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</si>
  <si>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</si>
  <si>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</si>
  <si>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</si>
  <si>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</si>
  <si>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</si>
  <si>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</si>
  <si>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</si>
  <si>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</si>
  <si>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</si>
  <si>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</si>
  <si>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</si>
  <si>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</si>
  <si>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</si>
  <si>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</si>
  <si>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</si>
  <si>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</si>
  <si>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</si>
  <si>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</si>
  <si>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</si>
  <si>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</si>
  <si>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</si>
  <si>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</si>
  <si>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</si>
  <si>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</si>
  <si>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</si>
  <si>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</si>
  <si>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</si>
  <si>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</si>
  <si>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</si>
  <si>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</si>
  <si>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</si>
  <si>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</si>
  <si>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</si>
  <si>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</si>
  <si>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</si>
  <si>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</si>
  <si>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</si>
  <si>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</si>
  <si>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</si>
  <si>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</si>
  <si>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</si>
  <si>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</si>
  <si>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</si>
  <si>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</si>
  <si>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</si>
  <si>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</si>
  <si>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</si>
  <si>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</si>
  <si>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</si>
  <si>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</si>
  <si>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</si>
  <si>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</si>
  <si>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</si>
  <si>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</si>
  <si>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</si>
  <si>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</si>
  <si>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</si>
  <si>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</si>
  <si>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</si>
  <si>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</si>
  <si>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</si>
  <si>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</si>
  <si>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</si>
  <si>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</si>
  <si>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</si>
  <si>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</si>
  <si>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</si>
  <si>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</si>
  <si>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</si>
  <si>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</si>
  <si>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</si>
  <si>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</si>
  <si>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</si>
  <si>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</si>
  <si>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</si>
  <si>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</si>
  <si>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</si>
  <si>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</si>
  <si>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</si>
  <si>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</si>
  <si>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</si>
  <si>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</si>
  <si>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</si>
  <si>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</si>
  <si>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</si>
  <si>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</si>
  <si>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</si>
  <si>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</si>
  <si>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</si>
  <si>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</si>
  <si>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</si>
  <si>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</si>
  <si>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</si>
  <si>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</si>
  <si>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</si>
  <si>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</si>
  <si>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</si>
  <si>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HOSPITAL BASED GRANTS PROGRAM</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</si>
  <si>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</si>
  <si>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</si>
  <si>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</si>
  <si>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</si>
  <si>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</si>
  <si>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</si>
  <si>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</si>
  <si>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</si>
  <si>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</si>
  <si>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</si>
  <si>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ENCON CONSERVATIONIST MAGAZINE ACCT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</si>
  <si>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</si>
  <si>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</si>
  <si>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</si>
  <si>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</si>
  <si>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</si>
  <si>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</si>
  <si>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</si>
  <si>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</si>
  <si>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</si>
  <si>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</si>
  <si>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</si>
  <si>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</si>
  <si>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</si>
  <si>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HEALTH-SPARC'S</t>
  </si>
  <si>
    <t xml:space="preserve">OPWDD PROVIDER OF SERVICE  </t>
  </si>
  <si>
    <t>MENTAL HYGIENE PROGRAM</t>
  </si>
  <si>
    <t>MENTAL HYGIENE PATIENT INCOME ACCOUNT</t>
  </si>
  <si>
    <t xml:space="preserve">FINANCIAL CONTROL BOARD </t>
  </si>
  <si>
    <t>RACING REGULATION ACCOUNT</t>
  </si>
  <si>
    <t>CYBER SECURITY UPGRADE</t>
  </si>
  <si>
    <t xml:space="preserve">SU DORM INCOME REIMBURSE </t>
  </si>
  <si>
    <t>ENERGY RESEARCH ACCOUNT</t>
  </si>
  <si>
    <t>CRIMINAL JUSTICE IMPROVEMENT</t>
  </si>
  <si>
    <t>ENV LAB REF FEE</t>
  </si>
  <si>
    <t>CLINICAL LAB FEE</t>
  </si>
  <si>
    <t>PUBLIC EMP REL BOARD</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</si>
  <si>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</si>
  <si>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</si>
  <si>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</si>
  <si>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</si>
  <si>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</si>
  <si>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</si>
  <si>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</si>
  <si>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</si>
  <si>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</si>
  <si>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</si>
  <si>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</si>
  <si>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</si>
  <si>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</si>
  <si>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</si>
  <si>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</si>
  <si>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</si>
  <si>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</si>
  <si>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</si>
  <si>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</si>
  <si>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</si>
  <si>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</si>
  <si>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</si>
  <si>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</si>
  <si>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</si>
  <si>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</si>
  <si>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</si>
  <si>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</si>
  <si>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</si>
  <si>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</si>
  <si>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</si>
  <si>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</si>
  <si>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</si>
  <si>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</si>
  <si>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</si>
  <si>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</si>
  <si>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</si>
  <si>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</si>
  <si>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</si>
  <si>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</si>
  <si>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</si>
  <si>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</si>
  <si>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</si>
  <si>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</si>
  <si>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</si>
  <si>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</si>
  <si>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</si>
  <si>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</si>
  <si>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</si>
  <si>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</si>
  <si>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</si>
  <si>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</si>
  <si>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</si>
  <si>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</si>
  <si>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</si>
  <si>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</si>
  <si>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</si>
  <si>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</si>
  <si>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</si>
  <si>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</si>
  <si>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</si>
  <si>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</si>
  <si>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</si>
  <si>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</si>
  <si>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</si>
  <si>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</si>
  <si>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</si>
  <si>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</si>
  <si>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</si>
  <si>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</si>
  <si>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</si>
  <si>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</si>
  <si>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</si>
  <si>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</si>
  <si>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</si>
  <si>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</si>
  <si>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</si>
  <si>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</si>
  <si>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</si>
  <si>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</si>
  <si>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</si>
  <si>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</si>
  <si>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</si>
  <si>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</si>
  <si>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</si>
  <si>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</si>
  <si>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</si>
  <si>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</si>
  <si>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</si>
  <si>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</si>
  <si>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</si>
  <si>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</si>
  <si>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HUMAN SVCE TELECOM ACCT</t>
  </si>
  <si>
    <t>CYBER SECURITY INTRUSION ACCT</t>
  </si>
  <si>
    <t>DOMESTIC VIOLENCE GRANT</t>
  </si>
  <si>
    <t>CENTRALIZED TECHNOLOGY SERVICES</t>
  </si>
  <si>
    <t>JOINT LABOR MANAGEMENT ADMIN</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</si>
  <si>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</si>
  <si>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</si>
  <si>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</si>
  <si>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</si>
  <si>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</si>
  <si>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</si>
  <si>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</si>
  <si>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</si>
  <si>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</si>
  <si>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</si>
  <si>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</si>
  <si>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These costs are systematically being transferred to Fund 30051 based upon a realignment plan with the Department of Transportation.</t>
  </si>
  <si>
    <t>General Fund</t>
  </si>
  <si>
    <t xml:space="preserve">  23700-23750-New York State Commercial Gaming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</si>
  <si>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</si>
  <si>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</si>
  <si>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</si>
  <si>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</si>
  <si>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</si>
  <si>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</si>
  <si>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</si>
  <si>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</si>
  <si>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</si>
  <si>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Quality of Care Account</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</si>
  <si>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</si>
  <si>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</si>
  <si>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</si>
  <si>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</si>
  <si>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State Capital Projects Fund</t>
  </si>
  <si>
    <t>General Debt Service Fund</t>
  </si>
  <si>
    <t>Revenue Bond Tax Fund</t>
  </si>
  <si>
    <t>Banking Services Account</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</si>
  <si>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</si>
  <si>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</si>
  <si>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</si>
  <si>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</si>
  <si>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</si>
  <si>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</si>
  <si>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</si>
  <si>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</si>
  <si>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 xml:space="preserve">At month end, the following balances remained in agency escrow accounts.  For accounting purposes, </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</si>
  <si>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</si>
  <si>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</si>
  <si>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</si>
  <si>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</si>
  <si>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</si>
  <si>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</si>
  <si>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</si>
  <si>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</si>
  <si>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</si>
  <si>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</si>
  <si>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</si>
  <si>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</si>
  <si>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</si>
  <si>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</si>
  <si>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</si>
  <si>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</si>
  <si>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</si>
  <si>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</si>
  <si>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</si>
  <si>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</si>
  <si>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</si>
  <si>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</si>
  <si>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</si>
  <si>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</si>
  <si>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</si>
  <si>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</si>
  <si>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</si>
  <si>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</si>
  <si>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</si>
  <si>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</si>
  <si>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</si>
  <si>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</si>
  <si>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</si>
  <si>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</si>
  <si>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</si>
  <si>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</si>
  <si>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</si>
  <si>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</si>
  <si>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</si>
  <si>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</si>
  <si>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</si>
  <si>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</si>
  <si>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</si>
  <si>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</si>
  <si>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</si>
  <si>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</si>
  <si>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</si>
  <si>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</si>
  <si>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</si>
  <si>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</si>
  <si>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</si>
  <si>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</si>
  <si>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</si>
  <si>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</si>
  <si>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</si>
  <si>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</si>
  <si>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</si>
  <si>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</si>
  <si>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</si>
  <si>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</si>
  <si>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</si>
  <si>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</si>
  <si>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</si>
  <si>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</si>
  <si>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</si>
  <si>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</si>
  <si>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FISCAL YEAR 2014-2015</t>
  </si>
  <si>
    <t>STATE FISCAL YEAR ENDED MARCH 31, 2015</t>
  </si>
  <si>
    <t xml:space="preserve">FISCAL YEAR 2014-2015  </t>
  </si>
  <si>
    <t>SCHEDULE OF MONTH-END TEMPORARY LOANS OUTSTANDING(*)</t>
  </si>
  <si>
    <t>APR. 1, 2014</t>
  </si>
  <si>
    <t>2014-2015</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</si>
  <si>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</si>
  <si>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</si>
  <si>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</si>
  <si>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</si>
  <si>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</si>
  <si>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</si>
  <si>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</si>
  <si>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</si>
  <si>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</si>
  <si>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</si>
  <si>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</si>
  <si>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</si>
  <si>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</si>
  <si>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</si>
  <si>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</si>
  <si>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</si>
  <si>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</si>
  <si>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</si>
  <si>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</si>
  <si>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</si>
  <si>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</si>
  <si>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</si>
  <si>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</si>
  <si>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</si>
  <si>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</si>
  <si>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</si>
  <si>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</si>
  <si>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</si>
  <si>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</si>
  <si>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</si>
  <si>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</si>
  <si>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</si>
  <si>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</si>
  <si>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</si>
  <si>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FISCAL YEAR ENDED MARCH 31, 2015</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</si>
  <si>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</si>
  <si>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</si>
  <si>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</si>
  <si>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</si>
  <si>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</si>
  <si>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</si>
  <si>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</si>
  <si>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</si>
  <si>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</si>
  <si>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</si>
  <si>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</si>
  <si>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</si>
  <si>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</si>
  <si>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</si>
  <si>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</si>
  <si>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</si>
  <si>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</si>
  <si>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</si>
  <si>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</si>
  <si>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</si>
  <si>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</si>
  <si>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</si>
  <si>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</si>
  <si>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</si>
  <si>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</si>
  <si>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</si>
  <si>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</si>
  <si>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</si>
  <si>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</si>
  <si>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</si>
  <si>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</si>
  <si>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</si>
  <si>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</si>
  <si>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</si>
  <si>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</si>
  <si>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</si>
  <si>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</si>
  <si>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</si>
  <si>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</si>
  <si>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</si>
  <si>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</si>
  <si>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</si>
  <si>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</si>
  <si>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</si>
  <si>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</si>
  <si>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</si>
  <si>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</si>
  <si>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</si>
  <si>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</si>
  <si>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</si>
  <si>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</si>
  <si>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</si>
  <si>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</si>
  <si>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</si>
  <si>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</si>
  <si>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</si>
  <si>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</si>
  <si>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</si>
  <si>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</si>
  <si>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Business &amp; Licensing Services Account</t>
  </si>
  <si>
    <t>Medicaid Recoveries -Audit</t>
  </si>
  <si>
    <t xml:space="preserve">(*) Includes amounts appropriated in SFY 2014-15, as well as prior year appropriations that were reappropriated.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</si>
  <si>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</si>
  <si>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</si>
  <si>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</si>
  <si>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</si>
  <si>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</si>
  <si>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</si>
  <si>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</si>
  <si>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 xml:space="preserve">SOURCE:  </t>
  </si>
  <si>
    <t>COMMERCIAL GAMING REVENUE</t>
  </si>
  <si>
    <t>COMMERCIAL GAMING REGULATION</t>
  </si>
  <si>
    <t>25900-25949</t>
  </si>
  <si>
    <t>UNEMPLOYMENT INSURANCE ADMINISTRATION</t>
  </si>
  <si>
    <t>26001-26049</t>
  </si>
  <si>
    <t>DOL EMPLOYMENT AND TRAINING GRANTS</t>
  </si>
  <si>
    <t>LABOR CONTACT CENTER ACCT</t>
  </si>
  <si>
    <t>HUMAN SERVICES CONTACT CNTR ACCT</t>
  </si>
  <si>
    <t>TAX CONTACT CENTER ACCT</t>
  </si>
  <si>
    <t>Temporary Loans are authorized pursuant to Subdivision 5 of Section 4 of the State Finance Law and Chapter 55, Part I, Section 1 and 1A, of the Laws of 2014-15.</t>
  </si>
  <si>
    <t>The Fund 31354 temporary loan balance includes $36.3 million of costs previously disallowed by the Federal Highway Administration.</t>
  </si>
  <si>
    <t>A total of $33.5 million will be transferred to Fund 30051 on or before March 31, 2015.</t>
  </si>
  <si>
    <t>Except for DOT-Highways see note (**), temporary loans to federal funds are typically reimbursed within 2-3 days.  Such loans are made pursuant to federal</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</si>
  <si>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</si>
  <si>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</si>
  <si>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</si>
  <si>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</si>
  <si>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</si>
  <si>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</si>
  <si>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</si>
  <si>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</si>
  <si>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</si>
  <si>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</si>
  <si>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</si>
  <si>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</si>
  <si>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</si>
  <si>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</si>
  <si>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</si>
  <si>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</si>
  <si>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</si>
  <si>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</si>
  <si>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</si>
  <si>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</si>
  <si>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</si>
  <si>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</si>
  <si>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</si>
  <si>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</si>
  <si>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</si>
  <si>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WASTE MGMT AND CLEANUP</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</si>
  <si>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</si>
  <si>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</si>
  <si>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</si>
  <si>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</si>
  <si>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</si>
  <si>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</si>
  <si>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</si>
  <si>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</si>
  <si>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</si>
  <si>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</si>
  <si>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</si>
  <si>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</si>
  <si>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</si>
  <si>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</si>
  <si>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</si>
  <si>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</si>
  <si>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</si>
  <si>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operated Health and Mental Hygiene facilities. </t>
  </si>
  <si>
    <t xml:space="preserve">      Allocation of Month-End Balances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</si>
  <si>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</si>
  <si>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</si>
  <si>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</si>
  <si>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</si>
  <si>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</si>
  <si>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</si>
  <si>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</si>
  <si>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ISSUED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</si>
  <si>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</si>
  <si>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</si>
  <si>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</si>
  <si>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</si>
  <si>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</si>
  <si>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</si>
  <si>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</si>
  <si>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</si>
  <si>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</si>
  <si>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</si>
  <si>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</si>
  <si>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</si>
  <si>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</si>
  <si>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</si>
  <si>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MTA Operating Assistance Fund</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</si>
  <si>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</si>
  <si>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</si>
  <si>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</si>
  <si>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</si>
  <si>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</si>
  <si>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Mortgage Settlement Proceeds</t>
  </si>
  <si>
    <t xml:space="preserve">     Community Capital Assistance Program (CCAP)</t>
  </si>
  <si>
    <t>(*)     Source:  2014-15 Enacted Budget dated March 31, 2014.</t>
  </si>
  <si>
    <t>Community Enhancement Facilities Assistance Program (CEFAP)</t>
  </si>
  <si>
    <t xml:space="preserve">Urban Development Corporation (Youth Facilities) </t>
  </si>
  <si>
    <t xml:space="preserve">Dormitory Authority (Mental Hygiene)  </t>
  </si>
  <si>
    <t xml:space="preserve">Unemployment Insurance - Interest &amp; Penalty Account  </t>
  </si>
  <si>
    <t xml:space="preserve">of medical assistance payments previously made from appropriated State and Federal funds.  These monies  </t>
  </si>
  <si>
    <t xml:space="preserve">Special Revenue - Federal  </t>
  </si>
  <si>
    <t xml:space="preserve">Pursuant to Section 70 of the State Finance Law, the SUNY Dormitory Fund (40350-40399) has  been  </t>
  </si>
  <si>
    <t xml:space="preserve">reclassified from a Debt Service Fund to a Special Revenue Fund.  For the current fiscal year, all the activity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</si>
  <si>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</si>
  <si>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</si>
  <si>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</si>
  <si>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</si>
  <si>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</si>
  <si>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</si>
  <si>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adjustments have been made to reduce medical assistance spending and count these monies as financial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</si>
  <si>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</si>
  <si>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</si>
  <si>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</si>
  <si>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</si>
  <si>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</si>
  <si>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</si>
  <si>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</si>
  <si>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</si>
  <si>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</si>
  <si>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</si>
  <si>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</si>
  <si>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COMPARATIVE SCHEDULE OF TAX RECEIPTS</t>
  </si>
  <si>
    <t>10.579</t>
  </si>
  <si>
    <t xml:space="preserve">   Transfers from LGAC / STRBTF           </t>
  </si>
  <si>
    <t>Railroad Account</t>
  </si>
  <si>
    <t>Dedicated Highway &amp; Bridge Trust Fund</t>
  </si>
  <si>
    <t>Mental Hygiene Program Fund</t>
  </si>
  <si>
    <t>Alcohol Beverage Control</t>
  </si>
  <si>
    <t>Revenue Arrearage Account</t>
  </si>
  <si>
    <t>SUNY Income Fund</t>
  </si>
  <si>
    <t>will be presented in a Special Revenue Fund using the same fund numbers.   The beginning fund balances</t>
  </si>
  <si>
    <t>have been modified to reflect this change.</t>
  </si>
  <si>
    <t>Dedicated Mass Transportation - Non MTA</t>
  </si>
  <si>
    <t>5.</t>
  </si>
  <si>
    <t>A portion of Personal Income Tax receipts is transferred to the State Special Revenue School Tax Relief (STAR)</t>
  </si>
  <si>
    <t>Fund to be used to reimburse school districts for the STAR property tax exemptions for homeowners and payments</t>
  </si>
  <si>
    <t>D01RVE- ALBANY</t>
  </si>
  <si>
    <t>D07RVE- BINGHAMTON</t>
  </si>
  <si>
    <t>DSAS-COMMUINTY FACILITIES</t>
  </si>
  <si>
    <t>OASAS-COMMUNITY FACILITIES</t>
  </si>
  <si>
    <t>Legal Services Assistance Account</t>
  </si>
  <si>
    <t xml:space="preserve">Debt Service Funds - Statement of Cash Flow  </t>
  </si>
  <si>
    <t xml:space="preserve">FISCAL YEAR 2014-2015   </t>
  </si>
  <si>
    <t xml:space="preserve">FISCAL YEAR 2014-2015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</si>
  <si>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</si>
  <si>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</si>
  <si>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</si>
  <si>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</si>
  <si>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</si>
  <si>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</si>
  <si>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</si>
  <si>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</si>
  <si>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</si>
  <si>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</si>
  <si>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</si>
  <si>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</si>
  <si>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</si>
  <si>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</si>
  <si>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</si>
  <si>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</si>
  <si>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</si>
  <si>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</si>
  <si>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</si>
  <si>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</si>
  <si>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</si>
  <si>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</si>
  <si>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</si>
  <si>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</si>
  <si>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</si>
  <si>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</si>
  <si>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</si>
  <si>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</si>
  <si>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</si>
  <si>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</si>
  <si>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</si>
  <si>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</si>
  <si>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</si>
  <si>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</si>
  <si>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</si>
  <si>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</si>
  <si>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</si>
  <si>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</si>
  <si>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</si>
  <si>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</si>
  <si>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</si>
  <si>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</si>
  <si>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</si>
  <si>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</si>
  <si>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</si>
  <si>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</si>
  <si>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</si>
  <si>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</si>
  <si>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</si>
  <si>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</si>
  <si>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</si>
  <si>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</si>
  <si>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</si>
  <si>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</si>
  <si>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</si>
  <si>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</si>
  <si>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</si>
  <si>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</si>
  <si>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</si>
  <si>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</si>
  <si>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</si>
  <si>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</si>
  <si>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</si>
  <si>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</si>
  <si>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</si>
  <si>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</si>
  <si>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</si>
  <si>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</si>
  <si>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 xml:space="preserve">(***)    Includes transfers to the Department of Health Income Fund, the State University Income Fund and the Mental Hygiene Program Account representing payments </t>
  </si>
  <si>
    <t>(*)      Source:  2014-15 Enacted Budget dated March 31, 2014.</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</si>
  <si>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</si>
  <si>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</si>
  <si>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</si>
  <si>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</si>
  <si>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</si>
  <si>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</si>
  <si>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</si>
  <si>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</si>
  <si>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</si>
  <si>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</si>
  <si>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</si>
  <si>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</si>
  <si>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</si>
  <si>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</si>
  <si>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</si>
  <si>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</si>
  <si>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</si>
  <si>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</si>
  <si>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</si>
  <si>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</si>
  <si>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</si>
  <si>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</si>
  <si>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</si>
  <si>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</si>
  <si>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</si>
  <si>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</si>
  <si>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</si>
  <si>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</si>
  <si>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</si>
  <si>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</si>
  <si>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</si>
  <si>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</si>
  <si>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</si>
  <si>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</si>
  <si>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</si>
  <si>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</si>
  <si>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</si>
  <si>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</si>
  <si>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</si>
  <si>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</si>
  <si>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</si>
  <si>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</si>
  <si>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</si>
  <si>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</si>
  <si>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Plan (**)</t>
  </si>
  <si>
    <t xml:space="preserve">          for patients residing in State-Operated Health, Mental Hygiene and State University facilities.</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</si>
  <si>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</si>
  <si>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</si>
  <si>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</si>
  <si>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</si>
  <si>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</si>
  <si>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</si>
  <si>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</si>
  <si>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</si>
  <si>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</si>
  <si>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</si>
  <si>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r>
      <t xml:space="preserve">(***)   </t>
    </r>
    <r>
      <rPr>
        <u/>
        <sz val="12"/>
        <rFont val="Arial"/>
        <family val="2"/>
      </rPr>
      <t>State Operating Funds</t>
    </r>
    <r>
      <rPr>
        <sz val="12"/>
        <rFont val="Arial"/>
        <family val="2"/>
      </rPr>
      <t xml:space="preserve"> are comprised of the General Fund, State Special Revenue Funds supported</t>
    </r>
  </si>
  <si>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</si>
  <si>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</si>
  <si>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</si>
  <si>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</si>
  <si>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</si>
  <si>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</si>
  <si>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</si>
  <si>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</si>
  <si>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</si>
  <si>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</si>
  <si>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</si>
  <si>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</si>
  <si>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</si>
  <si>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</si>
  <si>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</si>
  <si>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</si>
  <si>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</si>
  <si>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</si>
  <si>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</si>
  <si>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</si>
  <si>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</si>
  <si>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</si>
  <si>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</si>
  <si>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</si>
  <si>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</si>
  <si>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</si>
  <si>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</si>
  <si>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</si>
  <si>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regulations which require the State to disburse funds prior to making a reimbursement claim from the U.S. Treasury.</t>
  </si>
  <si>
    <t>1st Quarter</t>
  </si>
  <si>
    <t>April - June</t>
  </si>
  <si>
    <t xml:space="preserve">         Debt Reduction Reserve</t>
  </si>
  <si>
    <t>MTA Financial Assistance Account</t>
  </si>
  <si>
    <t>State Police Motor Vehicle Law Fund</t>
  </si>
  <si>
    <t>Youth Facilities Per Diem Account</t>
  </si>
  <si>
    <t>SUNY - Hospital IFR</t>
  </si>
  <si>
    <t>Tax Revenue Arrearage Account</t>
  </si>
  <si>
    <t xml:space="preserve">Transit Authority Fund </t>
  </si>
  <si>
    <t>(****)  Eliminations between State and Federal Special Revenue Funds not included.</t>
  </si>
  <si>
    <t>Tribal State Compact Fund</t>
  </si>
  <si>
    <t>Certificates of Participation</t>
  </si>
  <si>
    <r>
      <t>Special Revenue Funds</t>
    </r>
    <r>
      <rPr>
        <sz val="9"/>
        <rFont val="Arial"/>
        <family val="2"/>
      </rPr>
      <t xml:space="preserve">  “Transfers To Other Funds” includes transfers to Debt Service funds of</t>
    </r>
  </si>
  <si>
    <t>Federal Education Fund</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</si>
  <si>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</si>
  <si>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</si>
  <si>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</si>
  <si>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</si>
  <si>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</si>
  <si>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</si>
  <si>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</si>
  <si>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</si>
  <si>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</si>
  <si>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</si>
  <si>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</si>
  <si>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</si>
  <si>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</si>
  <si>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</si>
  <si>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</si>
  <si>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</si>
  <si>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</si>
  <si>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 xml:space="preserve">                                     STATE OPERATING FUNDS (***)</t>
  </si>
  <si>
    <t>GOVERNMENTAL FUNDS-STATE OPERATING (*)</t>
  </si>
  <si>
    <t xml:space="preserve">STATEMENT OF RECEIPTS AND DISBURSEMENTS   </t>
  </si>
  <si>
    <t xml:space="preserve">                        TOTAL GOVERNMENTAL FUNDS                                 YEAR OVER YEAR</t>
  </si>
  <si>
    <t xml:space="preserve">  62000-62049-SSP SSI Payment Escrow</t>
  </si>
  <si>
    <t xml:space="preserve">          by activities from dedicated revenue sources (including operating transfers from Federal funds) and Debt Service Funds. </t>
  </si>
  <si>
    <t>Housing Debt Service Fund</t>
  </si>
  <si>
    <t>Surplus Property Account</t>
  </si>
  <si>
    <t>Dept of Labor - Fee &amp; Penalty Account</t>
  </si>
  <si>
    <t>to homeowners for the STAR Property Rebate Program.  Local Assistance Education grant payments were ($424.2m)</t>
  </si>
  <si>
    <t>Centralized Technical Services</t>
  </si>
  <si>
    <t xml:space="preserve">     PART 405.4 HOSPITAL AUDITS NYCRR</t>
  </si>
  <si>
    <t xml:space="preserve">(**) Eliminations between State and Federal Special Revenue Funds not included.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</si>
  <si>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</si>
  <si>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STATE FISCAL YEAR ENDED MARCH 31, 2015        </t>
  </si>
  <si>
    <t xml:space="preserve">STATEMENT OF RECEIPTS AND DISBURSEMENTS BY ACCOUNT       </t>
  </si>
  <si>
    <t xml:space="preserve">SPECIAL REVENUE FUNDS - COMBINED  </t>
  </si>
  <si>
    <t xml:space="preserve">(Amounts in millions)     </t>
  </si>
  <si>
    <t xml:space="preserve">            Patient/Client Care Reimbursement   </t>
  </si>
  <si>
    <t>7 Months Ended October 31</t>
  </si>
  <si>
    <t>FOR SEVEN MONTHS ENDED OCTOBER 31, 2014</t>
  </si>
  <si>
    <t>Fund Balances (Deficits) at October 31</t>
  </si>
  <si>
    <t>OCT. 2014</t>
  </si>
  <si>
    <t>OCT. 31, 2014</t>
  </si>
  <si>
    <t>OCT. 2013</t>
  </si>
  <si>
    <t>OCT. 31, 2013</t>
  </si>
  <si>
    <t>7 MOS. ENDED</t>
  </si>
  <si>
    <t>October 2014</t>
  </si>
  <si>
    <t>FOR THE MONTH OF OCTOBER 2014</t>
  </si>
  <si>
    <t>OCTOBER 1, 2014</t>
  </si>
  <si>
    <t>OCTOBER 31, 2014</t>
  </si>
  <si>
    <t xml:space="preserve">                                    7 Months Ended October 31</t>
  </si>
  <si>
    <t>FOR THE SEVEN MONTHS ENDED OCTOBER 31, 2014</t>
  </si>
  <si>
    <t>7 MONTHS ENDED OCT. 31</t>
  </si>
  <si>
    <t>7 MONTHS ENDED</t>
  </si>
  <si>
    <t>October 31, 2014</t>
  </si>
  <si>
    <t xml:space="preserve">As of October 31, 2014, $9,358,932.00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</si>
  <si>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OCTOBER 2014</t>
  </si>
  <si>
    <t>OCTOBER 2013</t>
  </si>
  <si>
    <t>(**)    Source:  2014-15 Financial Plan Mid-Year Update dated November 10, 2014.</t>
  </si>
  <si>
    <t>(**)     Source:  2014-15 Financial Plan Mid-Year Update dated November 10, 2014.</t>
  </si>
  <si>
    <t xml:space="preserve">operated Health, Mental Hygiene and State University facilities to Debt Service funds ($10.0m), the </t>
  </si>
  <si>
    <t>July - September</t>
  </si>
  <si>
    <t>October</t>
  </si>
  <si>
    <t>7 Months Ended 
October 31, 2014 (**)</t>
  </si>
  <si>
    <t>SCHEDULE OF DISBURSEMENTS OF FEDERAL AWARDS - October 2014</t>
  </si>
  <si>
    <t>Financial Crimes Revenue Account</t>
  </si>
  <si>
    <r>
      <t>Debt Service Funds</t>
    </r>
    <r>
      <rPr>
        <sz val="9"/>
        <rFont val="Arial"/>
        <family val="2"/>
      </rPr>
      <t xml:space="preserve"> “Transfers To Other Funds” includes transfers to the General Fund from the following:</t>
    </r>
  </si>
  <si>
    <t>Federal Dept of Health &amp; Human Services Fund</t>
  </si>
  <si>
    <t>Examination &amp; Misc. Revenue Fee Account</t>
  </si>
  <si>
    <t>ACCID Prevention Course Program</t>
  </si>
  <si>
    <r>
      <t>Capital Projects Funds</t>
    </r>
    <r>
      <rPr>
        <sz val="9"/>
        <rFont val="Arial"/>
        <family val="2"/>
      </rPr>
      <t xml:space="preserve"> “Transfers To Other Funds” includes transfers to the General Fund ($14.5m), the  </t>
    </r>
  </si>
  <si>
    <t>PERSONAL INCOME TAX</t>
  </si>
  <si>
    <t xml:space="preserve">CONSUMPTION/USE TAXES </t>
  </si>
  <si>
    <t>BUSINESS TAXES</t>
  </si>
  <si>
    <t xml:space="preserve">OTHER TAXES </t>
  </si>
  <si>
    <t>7 Months Ended</t>
  </si>
  <si>
    <t xml:space="preserve">the current fiscal quarter.  As of October 31, 2014 - pursuant to a certification of the Budget Director - </t>
  </si>
  <si>
    <t>in June, ($203.3m) in September  and ($4.5m) for the month of October.</t>
  </si>
  <si>
    <t xml:space="preserve">of Health ($86.0m) and Mental Hygiene ($819.9m). </t>
  </si>
  <si>
    <t>($970.7m) representing the federal share of Medicaid payments for patients residing in State-</t>
  </si>
  <si>
    <t>State University Income Fund ($179.4m) and the Mental Hygiene Program Account ($913.6m).</t>
  </si>
  <si>
    <t>(*)  Intra-Fund transfer eliminations represent transfers from Capital Projects-Federal funds.</t>
  </si>
  <si>
    <t xml:space="preserve">  Transfers from Other Funds (**)</t>
  </si>
  <si>
    <t xml:space="preserve">  Transfers to Other Funds (**)</t>
  </si>
  <si>
    <t xml:space="preserve">     ELDERLY PHARMACEUTICAL INSURANCE COV</t>
  </si>
  <si>
    <t>2nd Quarter</t>
  </si>
  <si>
    <t>Federal USDA/Food and Nutrition Services Fund</t>
  </si>
  <si>
    <t>General Debt Service Fund ($609.1m) and the Revenue Bond Tax Fund ($110.4m).</t>
  </si>
  <si>
    <t>the reserve amount is $138.2m, which was funded by a transfer from the General Fund.</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</si>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</sst>
</file>

<file path=xl/styles.xml><?xml version="1.0" encoding="utf-8"?>
<styleSheet xmlns="http://schemas.openxmlformats.org/spreadsheetml/2006/main">
  <numFmts count="4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s>
  <fonts count="18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color indexed="8"/>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b/>
      <sz val="7.5"/>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8"/>
      <color rgb="FF000000"/>
      <name val="Courier"/>
      <family val="3"/>
    </font>
    <font>
      <b/>
      <sz val="10"/>
      <color theme="1"/>
      <name val="Courier"/>
      <family val="3"/>
    </font>
    <font>
      <sz val="10"/>
      <color theme="1"/>
      <name val="Courier"/>
      <family val="3"/>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2"/>
      <name val="Arial"/>
      <family val="2"/>
    </font>
    <font>
      <b/>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8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s>
  <cellStyleXfs count="5460">
    <xf numFmtId="164" fontId="0" fillId="0" borderId="0"/>
    <xf numFmtId="43" fontId="26" fillId="0" borderId="0" applyFont="0" applyFill="0" applyBorder="0" applyAlignment="0" applyProtection="0"/>
    <xf numFmtId="0" fontId="24" fillId="0" borderId="0"/>
    <xf numFmtId="0" fontId="24" fillId="0" borderId="0"/>
    <xf numFmtId="0" fontId="73" fillId="0" borderId="0"/>
    <xf numFmtId="43" fontId="73"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85" fillId="0" borderId="0"/>
    <xf numFmtId="43" fontId="86" fillId="0" borderId="0" applyFont="0" applyFill="0" applyBorder="0" applyAlignment="0" applyProtection="0"/>
    <xf numFmtId="0" fontId="24" fillId="0" borderId="0"/>
    <xf numFmtId="43" fontId="29" fillId="0" borderId="0" applyFont="0" applyFill="0" applyBorder="0" applyAlignment="0" applyProtection="0"/>
    <xf numFmtId="40" fontId="91" fillId="33" borderId="0">
      <alignment horizontal="right"/>
    </xf>
    <xf numFmtId="0" fontId="92" fillId="33" borderId="0">
      <alignment horizontal="right"/>
    </xf>
    <xf numFmtId="0" fontId="93" fillId="33" borderId="13"/>
    <xf numFmtId="0" fontId="93" fillId="0" borderId="0" applyBorder="0">
      <alignment horizontal="centerContinuous"/>
    </xf>
    <xf numFmtId="0" fontId="94" fillId="0" borderId="0" applyBorder="0">
      <alignment horizontal="centerContinuous"/>
    </xf>
    <xf numFmtId="176" fontId="24" fillId="0" borderId="0"/>
    <xf numFmtId="176" fontId="26" fillId="0" borderId="0"/>
    <xf numFmtId="0" fontId="26"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99" fillId="0" borderId="0"/>
    <xf numFmtId="43" fontId="100"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24" fillId="0" borderId="0"/>
    <xf numFmtId="0" fontId="86" fillId="0" borderId="0"/>
    <xf numFmtId="43" fontId="86" fillId="0" borderId="0" applyFont="0" applyFill="0" applyBorder="0" applyAlignment="0" applyProtection="0"/>
    <xf numFmtId="0" fontId="23" fillId="12"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23" fillId="16"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23" fillId="2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23" fillId="24"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3" fillId="28"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23" fillId="3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23" fillId="9"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23" fillId="13"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23" fillId="17"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23" fillId="21"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3" fillId="25"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23" fillId="29"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3" fillId="3"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7" fillId="6" borderId="4" applyNumberFormat="0" applyAlignment="0" applyProtection="0"/>
    <xf numFmtId="0" fontId="112" fillId="48" borderId="61" applyNumberFormat="0" applyAlignment="0" applyProtection="0"/>
    <xf numFmtId="0" fontId="112" fillId="48" borderId="61" applyNumberFormat="0" applyAlignment="0" applyProtection="0"/>
    <xf numFmtId="0" fontId="19" fillId="7" borderId="7" applyNumberFormat="0" applyAlignment="0" applyProtection="0"/>
    <xf numFmtId="0" fontId="108" fillId="49" borderId="62" applyNumberFormat="0" applyAlignment="0" applyProtection="0"/>
    <xf numFmtId="0" fontId="108" fillId="49" borderId="62" applyNumberFormat="0" applyAlignment="0" applyProtection="0"/>
    <xf numFmtId="0" fontId="21"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2" fillId="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9" fillId="0" borderId="1"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0" fillId="0" borderId="2"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 fillId="0" borderId="3" applyNumberFormat="0" applyFill="0" applyAlignment="0" applyProtection="0"/>
    <xf numFmtId="0" fontId="117" fillId="0" borderId="65" applyNumberFormat="0" applyFill="0" applyAlignment="0" applyProtection="0"/>
    <xf numFmtId="0" fontId="117" fillId="0" borderId="65" applyNumberFormat="0" applyFill="0" applyAlignment="0" applyProtection="0"/>
    <xf numFmtId="0" fontId="11"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5" fillId="5" borderId="4" applyNumberFormat="0" applyAlignment="0" applyProtection="0"/>
    <xf numFmtId="0" fontId="118" fillId="51" borderId="61" applyNumberFormat="0" applyAlignment="0" applyProtection="0"/>
    <xf numFmtId="0" fontId="118" fillId="51" borderId="61" applyNumberFormat="0" applyAlignment="0" applyProtection="0"/>
    <xf numFmtId="0" fontId="18" fillId="0" borderId="6" applyNumberFormat="0" applyFill="0" applyAlignment="0" applyProtection="0"/>
    <xf numFmtId="0" fontId="119" fillId="0" borderId="66" applyNumberFormat="0" applyFill="0" applyAlignment="0" applyProtection="0"/>
    <xf numFmtId="0" fontId="119" fillId="0" borderId="66" applyNumberFormat="0" applyFill="0" applyAlignment="0" applyProtection="0"/>
    <xf numFmtId="0" fontId="14" fillId="4"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7" fillId="0" borderId="0"/>
    <xf numFmtId="0" fontId="16" fillId="6" borderId="5" applyNumberFormat="0" applyAlignment="0" applyProtection="0"/>
    <xf numFmtId="0" fontId="121" fillId="48" borderId="67" applyNumberFormat="0" applyAlignment="0" applyProtection="0"/>
    <xf numFmtId="0" fontId="121" fillId="48" borderId="67" applyNumberFormat="0" applyAlignment="0" applyProtection="0"/>
    <xf numFmtId="0" fontId="8"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2" fillId="0" borderId="9" applyNumberFormat="0" applyFill="0" applyAlignment="0" applyProtection="0"/>
    <xf numFmtId="0" fontId="44" fillId="0" borderId="68" applyNumberFormat="0" applyFill="0" applyAlignment="0" applyProtection="0"/>
    <xf numFmtId="0" fontId="44" fillId="0" borderId="68" applyNumberFormat="0" applyFill="0" applyAlignment="0" applyProtection="0"/>
    <xf numFmtId="0" fontId="20"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 fillId="0" borderId="0"/>
    <xf numFmtId="0" fontId="24" fillId="0" borderId="0"/>
    <xf numFmtId="0" fontId="26" fillId="0" borderId="0"/>
    <xf numFmtId="0" fontId="24" fillId="0" borderId="0"/>
    <xf numFmtId="0" fontId="5" fillId="0" borderId="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9" fillId="0" borderId="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43" fontId="26" fillId="0" borderId="0" applyFont="0" applyFill="0" applyBorder="0" applyAlignment="0" applyProtection="0"/>
    <xf numFmtId="0" fontId="26" fillId="0" borderId="0"/>
    <xf numFmtId="0" fontId="86" fillId="0" borderId="0"/>
    <xf numFmtId="0" fontId="24" fillId="0" borderId="0"/>
    <xf numFmtId="0" fontId="141" fillId="0" borderId="0" applyNumberFormat="0" applyFill="0" applyBorder="0" applyAlignment="0" applyProtection="0">
      <alignment vertical="top"/>
      <protection locked="0"/>
    </xf>
    <xf numFmtId="0" fontId="143" fillId="5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43" fillId="5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43" fillId="4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43" fillId="47"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143" fillId="50"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43" fillId="50"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43" fillId="5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43" fillId="5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43" fillId="5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43" fillId="5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143" fillId="5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43" fillId="51"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143" fillId="5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43" fillId="5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43"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43"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43"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43"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43" fillId="5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43" fillId="5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43"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43"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43" fillId="5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43" fillId="5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4" fillId="0" borderId="0" applyFont="0" applyFill="0" applyBorder="0" applyAlignment="0" applyProtection="0"/>
    <xf numFmtId="43"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45" fillId="0" borderId="0"/>
    <xf numFmtId="0" fontId="4" fillId="0" borderId="0"/>
    <xf numFmtId="0" fontId="4" fillId="0" borderId="0"/>
    <xf numFmtId="0" fontId="4" fillId="0" borderId="0"/>
    <xf numFmtId="0" fontId="85" fillId="0" borderId="0"/>
    <xf numFmtId="0"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85" fillId="0" borderId="0"/>
    <xf numFmtId="0" fontId="144" fillId="0" borderId="0"/>
    <xf numFmtId="0" fontId="144" fillId="0" borderId="0"/>
    <xf numFmtId="0" fontId="4" fillId="0" borderId="0"/>
    <xf numFmtId="0" fontId="24" fillId="0" borderId="0"/>
    <xf numFmtId="0" fontId="143" fillId="58" borderId="73"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43" fillId="58" borderId="73"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24" fillId="0" borderId="0"/>
    <xf numFmtId="0" fontId="146" fillId="0" borderId="0"/>
    <xf numFmtId="9" fontId="24" fillId="0" borderId="0" applyFont="0" applyFill="0" applyBorder="0" applyAlignment="0" applyProtection="0"/>
    <xf numFmtId="43" fontId="24" fillId="0" borderId="0" applyFont="0" applyFill="0" applyBorder="0" applyAlignment="0" applyProtection="0"/>
    <xf numFmtId="0" fontId="29" fillId="0" borderId="0"/>
    <xf numFmtId="43" fontId="29"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176" fontId="2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85" fillId="0" borderId="0"/>
    <xf numFmtId="0" fontId="3" fillId="0" borderId="0"/>
    <xf numFmtId="0" fontId="3" fillId="0" borderId="0"/>
    <xf numFmtId="0" fontId="24" fillId="0" borderId="0"/>
    <xf numFmtId="0" fontId="3" fillId="0" borderId="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43" fontId="24" fillId="0" borderId="0" applyFont="0" applyFill="0" applyBorder="0" applyAlignment="0" applyProtection="0"/>
    <xf numFmtId="0" fontId="24" fillId="0" borderId="0"/>
    <xf numFmtId="0" fontId="85" fillId="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9" fontId="161" fillId="0" borderId="0" applyFont="0" applyFill="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53"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0"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85"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76" fontId="24" fillId="0" borderId="0"/>
    <xf numFmtId="0" fontId="100" fillId="0" borderId="0"/>
    <xf numFmtId="0" fontId="100" fillId="0" borderId="0"/>
    <xf numFmtId="0" fontId="100" fillId="0" borderId="0"/>
    <xf numFmtId="0" fontId="24" fillId="0" borderId="0"/>
    <xf numFmtId="0" fontId="100" fillId="0" borderId="0"/>
    <xf numFmtId="0" fontId="24" fillId="0" borderId="0"/>
    <xf numFmtId="0" fontId="24" fillId="0" borderId="0"/>
    <xf numFmtId="0" fontId="24" fillId="0" borderId="0"/>
    <xf numFmtId="0" fontId="24" fillId="0" borderId="0"/>
    <xf numFmtId="0" fontId="24" fillId="0" borderId="0"/>
    <xf numFmtId="0" fontId="85" fillId="0" borderId="0"/>
    <xf numFmtId="0" fontId="100" fillId="0" borderId="0"/>
    <xf numFmtId="0" fontId="100" fillId="0" borderId="0"/>
    <xf numFmtId="0" fontId="100" fillId="0" borderId="0"/>
    <xf numFmtId="0" fontId="100" fillId="0" borderId="0"/>
    <xf numFmtId="0" fontId="2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100" fillId="58" borderId="73" applyNumberFormat="0" applyFont="0" applyAlignment="0" applyProtection="0"/>
    <xf numFmtId="0" fontId="93" fillId="33" borderId="77"/>
    <xf numFmtId="0" fontId="29" fillId="0" borderId="0"/>
    <xf numFmtId="0" fontId="93" fillId="33" borderId="77"/>
    <xf numFmtId="176" fontId="24"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4"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164" fontId="24" fillId="0" borderId="0"/>
    <xf numFmtId="43" fontId="179" fillId="0" borderId="0" applyFont="0" applyFill="0" applyBorder="0" applyAlignment="0" applyProtection="0"/>
  </cellStyleXfs>
  <cellXfs count="3405">
    <xf numFmtId="164" fontId="0" fillId="0" borderId="0" xfId="0"/>
    <xf numFmtId="165" fontId="26" fillId="0" borderId="0" xfId="0" applyNumberFormat="1" applyFont="1" applyAlignment="1" applyProtection="1">
      <protection locked="0"/>
    </xf>
    <xf numFmtId="165" fontId="27" fillId="0" borderId="0" xfId="0" applyNumberFormat="1" applyFont="1" applyAlignment="1" applyProtection="1">
      <protection locked="0"/>
    </xf>
    <xf numFmtId="166" fontId="29" fillId="0" borderId="0" xfId="0" applyNumberFormat="1" applyFont="1" applyAlignment="1" applyProtection="1">
      <protection locked="0"/>
    </xf>
    <xf numFmtId="166" fontId="29" fillId="0" borderId="0" xfId="0" applyNumberFormat="1" applyFont="1" applyAlignment="1" applyProtection="1"/>
    <xf numFmtId="166" fontId="30" fillId="0" borderId="0" xfId="0" applyNumberFormat="1" applyFont="1" applyAlignment="1" applyProtection="1">
      <protection locked="0"/>
    </xf>
    <xf numFmtId="166" fontId="30" fillId="0" borderId="0" xfId="0" applyNumberFormat="1" applyFont="1" applyAlignment="1" applyProtection="1"/>
    <xf numFmtId="166" fontId="31" fillId="0" borderId="0" xfId="0" applyNumberFormat="1" applyFont="1" applyFill="1" applyAlignment="1" applyProtection="1">
      <alignment horizontal="right"/>
      <protection locked="0"/>
    </xf>
    <xf numFmtId="166" fontId="31" fillId="0" borderId="0" xfId="0" applyNumberFormat="1" applyFont="1" applyAlignment="1" applyProtection="1">
      <alignment horizontal="right"/>
      <protection locked="0"/>
    </xf>
    <xf numFmtId="166" fontId="25" fillId="0" borderId="0" xfId="0" applyNumberFormat="1" applyFont="1" applyFill="1" applyAlignment="1" applyProtection="1">
      <alignment horizontal="right"/>
      <protection locked="0"/>
    </xf>
    <xf numFmtId="166" fontId="31" fillId="0" borderId="0" xfId="0" quotePrefix="1" applyNumberFormat="1" applyFont="1" applyFill="1" applyAlignment="1" applyProtection="1">
      <alignment horizontal="right"/>
      <protection locked="0"/>
    </xf>
    <xf numFmtId="166" fontId="31" fillId="0" borderId="0" xfId="0" applyNumberFormat="1" applyFont="1" applyAlignment="1" applyProtection="1">
      <alignment horizontal="center"/>
      <protection locked="0"/>
    </xf>
    <xf numFmtId="166" fontId="29" fillId="0" borderId="0" xfId="0" applyNumberFormat="1" applyFont="1" applyBorder="1" applyAlignment="1" applyProtection="1">
      <protection locked="0"/>
    </xf>
    <xf numFmtId="166" fontId="31" fillId="0" borderId="0" xfId="0" applyNumberFormat="1" applyFont="1" applyFill="1" applyAlignment="1" applyProtection="1">
      <protection locked="0"/>
    </xf>
    <xf numFmtId="166" fontId="31" fillId="0" borderId="0" xfId="0" applyNumberFormat="1" applyFont="1" applyAlignment="1" applyProtection="1">
      <protection locked="0"/>
    </xf>
    <xf numFmtId="166" fontId="26" fillId="0" borderId="0" xfId="0" applyNumberFormat="1" applyFont="1" applyAlignment="1" applyProtection="1">
      <protection locked="0"/>
    </xf>
    <xf numFmtId="166" fontId="31" fillId="0" borderId="10" xfId="0" applyNumberFormat="1" applyFont="1" applyBorder="1" applyAlignment="1" applyProtection="1">
      <alignment horizontal="centerContinuous"/>
      <protection locked="0"/>
    </xf>
    <xf numFmtId="166" fontId="31" fillId="0" borderId="10" xfId="0" applyNumberFormat="1" applyFont="1" applyBorder="1" applyAlignment="1" applyProtection="1">
      <alignment horizontal="centerContinuous"/>
    </xf>
    <xf numFmtId="166" fontId="31" fillId="0" borderId="0" xfId="0" applyNumberFormat="1" applyFont="1" applyBorder="1" applyAlignment="1" applyProtection="1">
      <protection locked="0"/>
    </xf>
    <xf numFmtId="165" fontId="26" fillId="0" borderId="0" xfId="0" applyNumberFormat="1" applyFont="1" applyBorder="1" applyAlignment="1" applyProtection="1">
      <protection locked="0"/>
    </xf>
    <xf numFmtId="166" fontId="31" fillId="0" borderId="0" xfId="0" applyNumberFormat="1" applyFont="1" applyBorder="1" applyAlignment="1" applyProtection="1">
      <alignment horizontal="center"/>
      <protection locked="0"/>
    </xf>
    <xf numFmtId="166" fontId="31" fillId="0" borderId="0" xfId="0" quotePrefix="1" applyNumberFormat="1" applyFont="1" applyBorder="1" applyAlignment="1" applyProtection="1">
      <alignment horizontal="center"/>
    </xf>
    <xf numFmtId="166" fontId="31" fillId="0" borderId="0" xfId="0" applyNumberFormat="1" applyFont="1" applyBorder="1" applyAlignment="1" applyProtection="1">
      <alignment horizontal="center"/>
    </xf>
    <xf numFmtId="166" fontId="26" fillId="0" borderId="0" xfId="0" applyNumberFormat="1" applyFont="1" applyBorder="1" applyAlignment="1" applyProtection="1">
      <alignment horizontal="center"/>
      <protection locked="0"/>
    </xf>
    <xf numFmtId="166" fontId="31" fillId="0" borderId="0" xfId="0" applyNumberFormat="1" applyFont="1" applyFill="1" applyBorder="1" applyAlignment="1" applyProtection="1">
      <alignment horizontal="center"/>
      <protection locked="0"/>
    </xf>
    <xf numFmtId="166" fontId="31" fillId="0" borderId="10" xfId="0" quotePrefix="1" applyNumberFormat="1" applyFont="1" applyBorder="1" applyAlignment="1" applyProtection="1">
      <alignment horizontal="center"/>
      <protection locked="0"/>
    </xf>
    <xf numFmtId="166" fontId="31" fillId="0" borderId="10" xfId="0" applyNumberFormat="1" applyFont="1" applyBorder="1" applyAlignment="1" applyProtection="1">
      <alignment horizontal="center"/>
      <protection locked="0"/>
    </xf>
    <xf numFmtId="166" fontId="31" fillId="0" borderId="10" xfId="0" applyNumberFormat="1" applyFont="1" applyBorder="1" applyAlignment="1" applyProtection="1">
      <alignment horizontal="center"/>
    </xf>
    <xf numFmtId="166" fontId="31" fillId="0" borderId="0" xfId="0" quotePrefix="1" applyNumberFormat="1" applyFont="1" applyBorder="1" applyAlignment="1" applyProtection="1">
      <alignment horizontal="center"/>
      <protection locked="0"/>
    </xf>
    <xf numFmtId="166" fontId="26" fillId="0" borderId="0" xfId="0" applyNumberFormat="1" applyFont="1" applyBorder="1" applyAlignment="1" applyProtection="1">
      <protection locked="0"/>
    </xf>
    <xf numFmtId="166" fontId="26" fillId="0" borderId="0" xfId="0" applyNumberFormat="1" applyFont="1" applyBorder="1" applyAlignment="1" applyProtection="1"/>
    <xf numFmtId="166" fontId="26" fillId="0" borderId="13" xfId="0" applyNumberFormat="1" applyFont="1" applyBorder="1" applyAlignment="1" applyProtection="1">
      <protection locked="0"/>
    </xf>
    <xf numFmtId="166" fontId="26" fillId="0" borderId="14" xfId="0" applyNumberFormat="1" applyFont="1" applyBorder="1" applyAlignment="1" applyProtection="1">
      <protection locked="0"/>
    </xf>
    <xf numFmtId="166" fontId="26" fillId="0" borderId="0" xfId="0" applyNumberFormat="1" applyFont="1" applyFill="1" applyBorder="1" applyAlignment="1" applyProtection="1">
      <protection locked="0"/>
    </xf>
    <xf numFmtId="166" fontId="26" fillId="0" borderId="15" xfId="0" applyNumberFormat="1" applyFont="1" applyBorder="1" applyAlignment="1" applyProtection="1">
      <protection locked="0"/>
    </xf>
    <xf numFmtId="165" fontId="33" fillId="0" borderId="0" xfId="0" applyNumberFormat="1" applyFont="1" applyBorder="1" applyAlignment="1" applyProtection="1">
      <protection locked="0"/>
    </xf>
    <xf numFmtId="37" fontId="26" fillId="0" borderId="0" xfId="0" quotePrefix="1" applyNumberFormat="1" applyFont="1" applyAlignment="1" applyProtection="1">
      <alignment horizontal="left"/>
      <protection locked="0"/>
    </xf>
    <xf numFmtId="167" fontId="26" fillId="0" borderId="0" xfId="0" applyNumberFormat="1" applyFont="1" applyAlignment="1" applyProtection="1">
      <protection locked="0"/>
    </xf>
    <xf numFmtId="167" fontId="26" fillId="0" borderId="0" xfId="0" applyNumberFormat="1" applyFont="1" applyAlignment="1" applyProtection="1">
      <alignment horizontal="center"/>
      <protection locked="0"/>
    </xf>
    <xf numFmtId="167" fontId="26" fillId="0" borderId="13" xfId="0" applyNumberFormat="1" applyFont="1" applyBorder="1" applyAlignment="1" applyProtection="1">
      <protection locked="0"/>
    </xf>
    <xf numFmtId="167" fontId="26" fillId="0" borderId="0" xfId="0" applyNumberFormat="1" applyFont="1" applyBorder="1" applyAlignment="1" applyProtection="1">
      <protection locked="0"/>
    </xf>
    <xf numFmtId="167" fontId="26" fillId="0" borderId="14" xfId="0" applyNumberFormat="1" applyFont="1" applyBorder="1" applyAlignment="1" applyProtection="1">
      <protection locked="0"/>
    </xf>
    <xf numFmtId="167" fontId="26" fillId="0" borderId="0" xfId="0" applyNumberFormat="1" applyFont="1" applyFill="1" applyBorder="1" applyAlignment="1" applyProtection="1">
      <protection locked="0"/>
    </xf>
    <xf numFmtId="167" fontId="26" fillId="0" borderId="15" xfId="0" applyNumberFormat="1" applyFont="1" applyBorder="1" applyAlignment="1" applyProtection="1">
      <protection locked="0"/>
    </xf>
    <xf numFmtId="168" fontId="27" fillId="0" borderId="0" xfId="0" applyNumberFormat="1" applyFont="1" applyAlignment="1" applyProtection="1">
      <protection locked="0"/>
    </xf>
    <xf numFmtId="164" fontId="26" fillId="0" borderId="0" xfId="0" applyNumberFormat="1" applyFont="1" applyBorder="1" applyAlignment="1" applyProtection="1">
      <protection locked="0"/>
    </xf>
    <xf numFmtId="37" fontId="26" fillId="0" borderId="0" xfId="0" applyNumberFormat="1" applyFont="1" applyAlignment="1" applyProtection="1">
      <alignment horizontal="left"/>
      <protection locked="0"/>
    </xf>
    <xf numFmtId="170" fontId="26" fillId="0" borderId="0" xfId="0" applyNumberFormat="1" applyFont="1" applyAlignment="1" applyProtection="1">
      <protection locked="0"/>
    </xf>
    <xf numFmtId="170" fontId="26" fillId="0" borderId="0" xfId="0" applyNumberFormat="1" applyFont="1" applyAlignment="1" applyProtection="1"/>
    <xf numFmtId="170" fontId="26" fillId="0" borderId="0" xfId="0" applyNumberFormat="1" applyFont="1" applyAlignment="1" applyProtection="1">
      <alignment horizontal="right"/>
      <protection locked="0"/>
    </xf>
    <xf numFmtId="170" fontId="26" fillId="0" borderId="13" xfId="0" applyNumberFormat="1" applyFont="1" applyBorder="1" applyAlignment="1" applyProtection="1">
      <protection locked="0"/>
    </xf>
    <xf numFmtId="170" fontId="26" fillId="0" borderId="0" xfId="0" applyNumberFormat="1" applyFont="1" applyBorder="1" applyAlignment="1" applyProtection="1">
      <protection locked="0"/>
    </xf>
    <xf numFmtId="170" fontId="26" fillId="0" borderId="14" xfId="0" applyNumberFormat="1" applyFont="1" applyBorder="1" applyAlignment="1" applyProtection="1">
      <protection locked="0"/>
    </xf>
    <xf numFmtId="170" fontId="26" fillId="0" borderId="0" xfId="0" applyNumberFormat="1" applyFont="1" applyFill="1" applyAlignment="1" applyProtection="1">
      <protection locked="0"/>
    </xf>
    <xf numFmtId="170" fontId="26" fillId="0" borderId="0" xfId="0" applyNumberFormat="1" applyFont="1" applyFill="1" applyBorder="1" applyAlignment="1" applyProtection="1">
      <protection locked="0"/>
    </xf>
    <xf numFmtId="170" fontId="26" fillId="0" borderId="15" xfId="0" applyNumberFormat="1" applyFont="1" applyBorder="1" applyAlignment="1" applyProtection="1">
      <protection locked="0"/>
    </xf>
    <xf numFmtId="165" fontId="26" fillId="0" borderId="0" xfId="0" quotePrefix="1" applyNumberFormat="1" applyFont="1" applyAlignment="1" applyProtection="1">
      <alignment horizontal="left"/>
      <protection locked="0"/>
    </xf>
    <xf numFmtId="170" fontId="26" fillId="0" borderId="0" xfId="0" applyNumberFormat="1" applyFont="1" applyAlignment="1" applyProtection="1">
      <alignment horizontal="center"/>
      <protection locked="0"/>
    </xf>
    <xf numFmtId="170" fontId="26" fillId="0" borderId="0" xfId="0" applyNumberFormat="1" applyFont="1" applyAlignment="1" applyProtection="1">
      <alignment horizontal="center"/>
    </xf>
    <xf numFmtId="171" fontId="26" fillId="0" borderId="0" xfId="0" quotePrefix="1" applyNumberFormat="1" applyFont="1" applyAlignment="1" applyProtection="1">
      <alignment horizontal="left"/>
      <protection locked="0"/>
    </xf>
    <xf numFmtId="0" fontId="26" fillId="0" borderId="0" xfId="0" quotePrefix="1" applyNumberFormat="1" applyFont="1" applyAlignment="1" applyProtection="1">
      <alignment horizontal="left"/>
      <protection locked="0"/>
    </xf>
    <xf numFmtId="170" fontId="26" fillId="0" borderId="0" xfId="0" quotePrefix="1" applyNumberFormat="1" applyFont="1" applyAlignment="1" applyProtection="1">
      <alignment horizontal="center"/>
      <protection locked="0"/>
    </xf>
    <xf numFmtId="170" fontId="31" fillId="0" borderId="16" xfId="0" applyNumberFormat="1" applyFont="1" applyBorder="1" applyAlignment="1" applyProtection="1">
      <alignment horizontal="right"/>
      <protection locked="0"/>
    </xf>
    <xf numFmtId="170" fontId="31" fillId="0" borderId="0" xfId="0" applyNumberFormat="1" applyFont="1" applyBorder="1" applyAlignment="1" applyProtection="1">
      <alignment horizontal="right"/>
      <protection locked="0"/>
    </xf>
    <xf numFmtId="170" fontId="31" fillId="0" borderId="16" xfId="0" applyNumberFormat="1" applyFont="1" applyBorder="1" applyAlignment="1" applyProtection="1">
      <alignment horizontal="right"/>
    </xf>
    <xf numFmtId="170" fontId="31" fillId="0" borderId="0" xfId="0" applyNumberFormat="1" applyFont="1" applyAlignment="1" applyProtection="1">
      <protection locked="0"/>
    </xf>
    <xf numFmtId="170" fontId="31" fillId="0" borderId="16" xfId="0" applyNumberFormat="1" applyFont="1" applyBorder="1" applyAlignment="1" applyProtection="1">
      <protection locked="0"/>
    </xf>
    <xf numFmtId="170" fontId="31" fillId="0" borderId="16" xfId="0" applyNumberFormat="1" applyFont="1" applyBorder="1" applyAlignment="1" applyProtection="1"/>
    <xf numFmtId="170" fontId="31" fillId="0" borderId="13" xfId="0" applyNumberFormat="1" applyFont="1" applyBorder="1" applyAlignment="1" applyProtection="1">
      <protection locked="0"/>
    </xf>
    <xf numFmtId="170" fontId="31" fillId="0" borderId="0" xfId="0" applyNumberFormat="1" applyFont="1" applyBorder="1" applyAlignment="1" applyProtection="1">
      <protection locked="0"/>
    </xf>
    <xf numFmtId="170" fontId="31" fillId="0" borderId="14" xfId="0" applyNumberFormat="1" applyFont="1" applyBorder="1" applyAlignment="1" applyProtection="1">
      <protection locked="0"/>
    </xf>
    <xf numFmtId="170" fontId="31" fillId="0" borderId="0" xfId="0" applyNumberFormat="1" applyFont="1" applyFill="1" applyBorder="1" applyAlignment="1" applyProtection="1">
      <protection locked="0"/>
    </xf>
    <xf numFmtId="170" fontId="31" fillId="0" borderId="15" xfId="0" applyNumberFormat="1" applyFont="1" applyBorder="1" applyAlignment="1" applyProtection="1">
      <protection locked="0"/>
    </xf>
    <xf numFmtId="165" fontId="34" fillId="0" borderId="0" xfId="0" applyNumberFormat="1" applyFont="1" applyAlignment="1" applyProtection="1">
      <protection locked="0"/>
    </xf>
    <xf numFmtId="164" fontId="31" fillId="0" borderId="16" xfId="0" applyNumberFormat="1" applyFont="1" applyBorder="1" applyAlignment="1" applyProtection="1">
      <protection locked="0"/>
    </xf>
    <xf numFmtId="166" fontId="31" fillId="0" borderId="0" xfId="0" applyNumberFormat="1" applyFont="1" applyBorder="1" applyAlignment="1" applyProtection="1">
      <alignment horizontal="right"/>
      <protection locked="0"/>
    </xf>
    <xf numFmtId="170" fontId="26" fillId="0" borderId="0" xfId="0" applyNumberFormat="1" applyFont="1" applyBorder="1" applyAlignment="1" applyProtection="1"/>
    <xf numFmtId="170" fontId="26" fillId="0" borderId="0" xfId="0" quotePrefix="1" applyNumberFormat="1" applyFont="1" applyAlignment="1" applyProtection="1">
      <alignment horizontal="center"/>
    </xf>
    <xf numFmtId="166" fontId="26" fillId="0" borderId="0" xfId="0" quotePrefix="1" applyNumberFormat="1" applyFont="1" applyAlignment="1" applyProtection="1">
      <alignment horizontal="center"/>
      <protection locked="0"/>
    </xf>
    <xf numFmtId="170" fontId="26" fillId="0" borderId="0" xfId="0" quotePrefix="1" applyNumberFormat="1" applyFont="1" applyBorder="1" applyAlignment="1" applyProtection="1">
      <alignment horizontal="center"/>
      <protection locked="0"/>
    </xf>
    <xf numFmtId="170" fontId="26" fillId="0" borderId="0" xfId="0" quotePrefix="1" applyNumberFormat="1" applyFont="1" applyBorder="1" applyAlignment="1" applyProtection="1">
      <alignment horizontal="center"/>
    </xf>
    <xf numFmtId="170" fontId="26" fillId="0" borderId="0" xfId="0" applyNumberFormat="1" applyFont="1" applyBorder="1" applyAlignment="1" applyProtection="1">
      <alignment horizontal="right"/>
      <protection locked="0"/>
    </xf>
    <xf numFmtId="170" fontId="26" fillId="0" borderId="15" xfId="0" quotePrefix="1" applyNumberFormat="1" applyFont="1" applyBorder="1" applyAlignment="1" applyProtection="1">
      <alignment horizontal="right"/>
      <protection locked="0"/>
    </xf>
    <xf numFmtId="166" fontId="26" fillId="0" borderId="0" xfId="0" quotePrefix="1" applyNumberFormat="1" applyFont="1" applyAlignment="1" applyProtection="1">
      <alignment horizontal="left"/>
      <protection locked="0"/>
    </xf>
    <xf numFmtId="166" fontId="26" fillId="0" borderId="0" xfId="0" quotePrefix="1" applyNumberFormat="1" applyFont="1" applyAlignment="1" applyProtection="1">
      <protection locked="0"/>
    </xf>
    <xf numFmtId="170" fontId="26" fillId="0" borderId="0" xfId="0" applyNumberFormat="1" applyFont="1" applyBorder="1" applyAlignment="1" applyProtection="1">
      <alignment horizontal="center"/>
      <protection locked="0"/>
    </xf>
    <xf numFmtId="170" fontId="26" fillId="0" borderId="0" xfId="0" applyNumberFormat="1" applyFont="1" applyBorder="1" applyAlignment="1" applyProtection="1">
      <alignment horizontal="center"/>
    </xf>
    <xf numFmtId="170" fontId="35" fillId="0" borderId="0" xfId="0" applyNumberFormat="1" applyFont="1" applyAlignment="1" applyProtection="1">
      <protection locked="0"/>
    </xf>
    <xf numFmtId="170" fontId="35" fillId="0" borderId="0" xfId="0" applyNumberFormat="1" applyFont="1" applyFill="1" applyAlignment="1" applyProtection="1">
      <protection locked="0"/>
    </xf>
    <xf numFmtId="170" fontId="36" fillId="0" borderId="0" xfId="0" applyNumberFormat="1" applyFont="1" applyAlignment="1" applyProtection="1">
      <protection locked="0"/>
    </xf>
    <xf numFmtId="170" fontId="27" fillId="0" borderId="0" xfId="0" applyNumberFormat="1" applyFont="1" applyAlignment="1" applyProtection="1"/>
    <xf numFmtId="170" fontId="26" fillId="0" borderId="10" xfId="0" applyNumberFormat="1" applyFont="1" applyBorder="1" applyAlignment="1" applyProtection="1">
      <protection locked="0"/>
    </xf>
    <xf numFmtId="170" fontId="31" fillId="0" borderId="10" xfId="0" applyNumberFormat="1" applyFont="1" applyBorder="1" applyAlignment="1" applyProtection="1">
      <protection locked="0"/>
    </xf>
    <xf numFmtId="170" fontId="31" fillId="0" borderId="10" xfId="0" applyNumberFormat="1" applyFont="1" applyBorder="1" applyAlignment="1" applyProtection="1"/>
    <xf numFmtId="170" fontId="31" fillId="0" borderId="10" xfId="0" applyNumberFormat="1" applyFont="1" applyBorder="1" applyAlignment="1" applyProtection="1">
      <alignment horizontal="right"/>
    </xf>
    <xf numFmtId="170" fontId="31" fillId="0" borderId="10" xfId="0" applyNumberFormat="1" applyFont="1" applyFill="1" applyBorder="1" applyAlignment="1" applyProtection="1">
      <protection locked="0"/>
    </xf>
    <xf numFmtId="165" fontId="34" fillId="0" borderId="0" xfId="0" applyNumberFormat="1" applyFont="1" applyBorder="1" applyAlignment="1" applyProtection="1">
      <protection locked="0"/>
    </xf>
    <xf numFmtId="164" fontId="31" fillId="0" borderId="10" xfId="0" applyNumberFormat="1" applyFont="1" applyBorder="1" applyAlignment="1" applyProtection="1">
      <protection locked="0"/>
    </xf>
    <xf numFmtId="166" fontId="26" fillId="0" borderId="0" xfId="0" applyNumberFormat="1" applyFont="1" applyFill="1" applyAlignment="1" applyProtection="1">
      <protection locked="0"/>
    </xf>
    <xf numFmtId="170" fontId="26" fillId="0" borderId="0" xfId="0" applyNumberFormat="1" applyFont="1" applyFill="1" applyAlignment="1" applyProtection="1">
      <alignment horizontal="center"/>
    </xf>
    <xf numFmtId="170" fontId="26" fillId="0" borderId="15" xfId="0" applyNumberFormat="1" applyFont="1" applyBorder="1" applyAlignment="1" applyProtection="1">
      <alignment horizontal="center"/>
      <protection locked="0"/>
    </xf>
    <xf numFmtId="165" fontId="27" fillId="0" borderId="0" xfId="0" applyNumberFormat="1" applyFont="1" applyBorder="1" applyAlignment="1" applyProtection="1">
      <protection locked="0"/>
    </xf>
    <xf numFmtId="166" fontId="26" fillId="0" borderId="0" xfId="0" applyNumberFormat="1" applyFont="1" applyFill="1" applyBorder="1" applyAlignment="1" applyProtection="1">
      <alignment horizontal="center"/>
      <protection locked="0"/>
    </xf>
    <xf numFmtId="37" fontId="26" fillId="0" borderId="0" xfId="0" quotePrefix="1" applyNumberFormat="1" applyFont="1" applyFill="1" applyAlignment="1" applyProtection="1">
      <alignment horizontal="left"/>
      <protection locked="0"/>
    </xf>
    <xf numFmtId="170" fontId="26" fillId="0" borderId="0" xfId="0" applyNumberFormat="1" applyFont="1" applyFill="1" applyAlignment="1" applyProtection="1"/>
    <xf numFmtId="170" fontId="26" fillId="0" borderId="13" xfId="0" applyNumberFormat="1" applyFont="1" applyFill="1" applyBorder="1" applyAlignment="1" applyProtection="1">
      <protection locked="0"/>
    </xf>
    <xf numFmtId="170" fontId="26" fillId="0" borderId="14" xfId="0" applyNumberFormat="1" applyFont="1" applyFill="1" applyBorder="1" applyAlignment="1" applyProtection="1">
      <protection locked="0"/>
    </xf>
    <xf numFmtId="170" fontId="26" fillId="33" borderId="0" xfId="0" applyNumberFormat="1" applyFont="1" applyFill="1" applyAlignment="1" applyProtection="1">
      <protection locked="0"/>
    </xf>
    <xf numFmtId="164" fontId="26" fillId="0" borderId="10" xfId="0" applyNumberFormat="1" applyFont="1" applyBorder="1" applyAlignment="1" applyProtection="1">
      <protection locked="0"/>
    </xf>
    <xf numFmtId="170" fontId="31" fillId="0" borderId="16" xfId="0" quotePrefix="1" applyNumberFormat="1" applyFont="1" applyBorder="1" applyAlignment="1" applyProtection="1">
      <alignment horizontal="right"/>
      <protection locked="0"/>
    </xf>
    <xf numFmtId="170" fontId="31" fillId="0" borderId="0" xfId="0" quotePrefix="1" applyNumberFormat="1" applyFont="1" applyBorder="1" applyAlignment="1" applyProtection="1">
      <alignment horizontal="right"/>
      <protection locked="0"/>
    </xf>
    <xf numFmtId="172" fontId="31" fillId="0" borderId="10" xfId="0" applyNumberFormat="1" applyFont="1" applyBorder="1" applyAlignment="1" applyProtection="1">
      <protection locked="0"/>
    </xf>
    <xf numFmtId="173" fontId="26" fillId="0" borderId="0" xfId="0" applyNumberFormat="1" applyFont="1" applyBorder="1" applyAlignment="1" applyProtection="1">
      <protection locked="0"/>
    </xf>
    <xf numFmtId="170" fontId="31" fillId="0" borderId="0" xfId="0" applyNumberFormat="1" applyFont="1" applyFill="1" applyAlignment="1" applyProtection="1">
      <protection locked="0"/>
    </xf>
    <xf numFmtId="170" fontId="31" fillId="0" borderId="0" xfId="0" applyNumberFormat="1" applyFont="1" applyFill="1" applyAlignment="1" applyProtection="1"/>
    <xf numFmtId="170" fontId="31" fillId="0" borderId="13" xfId="0" applyNumberFormat="1" applyFont="1" applyFill="1" applyBorder="1" applyAlignment="1" applyProtection="1">
      <protection locked="0"/>
    </xf>
    <xf numFmtId="170" fontId="31" fillId="0" borderId="14" xfId="0" applyNumberFormat="1" applyFont="1" applyFill="1" applyBorder="1" applyAlignment="1" applyProtection="1">
      <protection locked="0"/>
    </xf>
    <xf numFmtId="164" fontId="31" fillId="0" borderId="0" xfId="0" applyNumberFormat="1" applyFont="1" applyBorder="1" applyAlignment="1" applyProtection="1">
      <protection locked="0"/>
    </xf>
    <xf numFmtId="166" fontId="31" fillId="0" borderId="0" xfId="0" applyNumberFormat="1" applyFont="1" applyFill="1" applyBorder="1" applyAlignment="1" applyProtection="1">
      <protection locked="0"/>
    </xf>
    <xf numFmtId="165" fontId="31" fillId="0" borderId="0" xfId="0" applyNumberFormat="1" applyFont="1" applyAlignment="1" applyProtection="1">
      <protection locked="0"/>
    </xf>
    <xf numFmtId="166" fontId="26" fillId="0" borderId="0" xfId="0" quotePrefix="1" applyNumberFormat="1" applyFont="1" applyFill="1" applyAlignment="1" applyProtection="1">
      <alignment horizontal="left"/>
      <protection locked="0"/>
    </xf>
    <xf numFmtId="164" fontId="26" fillId="0" borderId="0" xfId="0" applyFont="1" applyProtection="1">
      <protection locked="0"/>
    </xf>
    <xf numFmtId="174" fontId="31" fillId="0" borderId="17" xfId="0" applyNumberFormat="1" applyFont="1" applyFill="1" applyBorder="1" applyAlignment="1" applyProtection="1">
      <protection locked="0"/>
    </xf>
    <xf numFmtId="174" fontId="31" fillId="0" borderId="0" xfId="0" applyNumberFormat="1" applyFont="1" applyFill="1" applyAlignment="1" applyProtection="1">
      <protection locked="0"/>
    </xf>
    <xf numFmtId="174" fontId="31" fillId="0" borderId="17" xfId="0" applyNumberFormat="1" applyFont="1" applyFill="1" applyBorder="1" applyAlignment="1" applyProtection="1"/>
    <xf numFmtId="174" fontId="31" fillId="0" borderId="13" xfId="0" applyNumberFormat="1" applyFont="1" applyFill="1" applyBorder="1" applyAlignment="1" applyProtection="1">
      <protection locked="0"/>
    </xf>
    <xf numFmtId="174" fontId="31" fillId="0" borderId="0" xfId="0" applyNumberFormat="1" applyFont="1" applyFill="1" applyBorder="1" applyAlignment="1" applyProtection="1">
      <protection locked="0"/>
    </xf>
    <xf numFmtId="174" fontId="31" fillId="0" borderId="14" xfId="0" applyNumberFormat="1" applyFont="1" applyFill="1" applyBorder="1" applyAlignment="1" applyProtection="1">
      <protection locked="0"/>
    </xf>
    <xf numFmtId="174" fontId="31" fillId="0" borderId="15" xfId="0" applyNumberFormat="1" applyFont="1" applyBorder="1" applyAlignment="1" applyProtection="1">
      <protection locked="0"/>
    </xf>
    <xf numFmtId="174" fontId="31" fillId="0" borderId="17" xfId="0" applyNumberFormat="1" applyFont="1" applyBorder="1" applyAlignment="1" applyProtection="1">
      <protection locked="0"/>
    </xf>
    <xf numFmtId="164" fontId="31" fillId="0" borderId="17" xfId="0" applyNumberFormat="1" applyFont="1" applyBorder="1" applyAlignment="1" applyProtection="1">
      <protection locked="0"/>
    </xf>
    <xf numFmtId="169" fontId="31" fillId="0" borderId="0" xfId="0" applyNumberFormat="1" applyFont="1" applyFill="1" applyBorder="1" applyAlignment="1" applyProtection="1">
      <protection locked="0"/>
    </xf>
    <xf numFmtId="168" fontId="34" fillId="0" borderId="0" xfId="0" applyNumberFormat="1" applyFont="1" applyAlignment="1" applyProtection="1">
      <protection locked="0"/>
    </xf>
    <xf numFmtId="166" fontId="34" fillId="0" borderId="0" xfId="0" applyNumberFormat="1" applyFont="1" applyBorder="1" applyAlignment="1" applyProtection="1">
      <protection locked="0"/>
    </xf>
    <xf numFmtId="166" fontId="27" fillId="0" borderId="0" xfId="0" applyNumberFormat="1" applyFont="1" applyBorder="1" applyAlignment="1" applyProtection="1">
      <protection locked="0"/>
    </xf>
    <xf numFmtId="166" fontId="27" fillId="0" borderId="0" xfId="0" applyNumberFormat="1" applyFont="1" applyAlignment="1" applyProtection="1">
      <protection locked="0"/>
    </xf>
    <xf numFmtId="166" fontId="27" fillId="0" borderId="0" xfId="0" applyNumberFormat="1" applyFont="1" applyFill="1" applyBorder="1" applyAlignment="1" applyProtection="1">
      <protection locked="0"/>
    </xf>
    <xf numFmtId="165" fontId="37" fillId="0" borderId="0" xfId="0" applyNumberFormat="1" applyFont="1" applyBorder="1" applyAlignment="1" applyProtection="1">
      <protection locked="0"/>
    </xf>
    <xf numFmtId="165" fontId="31" fillId="0" borderId="0" xfId="0" applyNumberFormat="1" applyFont="1" applyBorder="1" applyAlignment="1" applyProtection="1">
      <protection locked="0"/>
    </xf>
    <xf numFmtId="165" fontId="27" fillId="0" borderId="0" xfId="0" applyNumberFormat="1" applyFont="1" applyFill="1" applyAlignment="1" applyProtection="1">
      <protection locked="0"/>
    </xf>
    <xf numFmtId="165" fontId="37" fillId="0" borderId="0" xfId="0" applyNumberFormat="1" applyFont="1" applyAlignment="1" applyProtection="1">
      <protection locked="0"/>
    </xf>
    <xf numFmtId="166" fontId="32" fillId="0" borderId="0" xfId="0" quotePrefix="1" applyNumberFormat="1" applyFont="1" applyBorder="1" applyAlignment="1" applyProtection="1">
      <alignment horizontal="left"/>
      <protection locked="0"/>
    </xf>
    <xf numFmtId="166" fontId="32" fillId="0" borderId="0" xfId="0" applyNumberFormat="1" applyFont="1" applyBorder="1" applyAlignment="1" applyProtection="1">
      <alignment horizontal="left"/>
      <protection locked="0"/>
    </xf>
    <xf numFmtId="165" fontId="32" fillId="0" borderId="0" xfId="0" applyNumberFormat="1" applyFont="1" applyBorder="1" applyAlignment="1" applyProtection="1">
      <protection locked="0"/>
    </xf>
    <xf numFmtId="165" fontId="38" fillId="0" borderId="0" xfId="0" applyNumberFormat="1" applyFont="1" applyAlignment="1" applyProtection="1">
      <protection locked="0"/>
    </xf>
    <xf numFmtId="164" fontId="26" fillId="0" borderId="0" xfId="0" applyFont="1" applyFill="1" applyBorder="1" applyAlignment="1"/>
    <xf numFmtId="166" fontId="29" fillId="0" borderId="0" xfId="0" applyNumberFormat="1" applyFont="1" applyAlignment="1"/>
    <xf numFmtId="166" fontId="30" fillId="0" borderId="0" xfId="0" applyNumberFormat="1" applyFont="1" applyAlignment="1"/>
    <xf numFmtId="165" fontId="41" fillId="0" borderId="0" xfId="0" applyNumberFormat="1" applyFont="1" applyFill="1" applyAlignment="1"/>
    <xf numFmtId="166" fontId="25" fillId="0" borderId="0" xfId="0" applyNumberFormat="1" applyFont="1" applyFill="1" applyAlignment="1">
      <alignment horizontal="right"/>
    </xf>
    <xf numFmtId="166" fontId="42" fillId="0" borderId="0" xfId="0" applyNumberFormat="1" applyFont="1" applyFill="1" applyBorder="1" applyAlignment="1">
      <alignment horizontal="right"/>
    </xf>
    <xf numFmtId="165" fontId="26" fillId="0" borderId="0" xfId="0" applyNumberFormat="1" applyFont="1" applyAlignment="1"/>
    <xf numFmtId="165" fontId="27" fillId="0" borderId="0" xfId="0" applyNumberFormat="1" applyFont="1" applyAlignment="1"/>
    <xf numFmtId="166" fontId="45" fillId="0" borderId="0" xfId="0" applyNumberFormat="1" applyFont="1" applyFill="1" applyAlignment="1">
      <alignment horizontal="right"/>
    </xf>
    <xf numFmtId="166" fontId="30" fillId="0" borderId="0" xfId="0" applyNumberFormat="1" applyFont="1" applyBorder="1" applyAlignment="1"/>
    <xf numFmtId="166" fontId="29" fillId="0" borderId="0" xfId="0" applyNumberFormat="1" applyFont="1" applyBorder="1" applyAlignment="1"/>
    <xf numFmtId="166" fontId="31" fillId="0" borderId="0" xfId="0" applyNumberFormat="1" applyFont="1" applyAlignment="1">
      <alignment horizontal="center"/>
    </xf>
    <xf numFmtId="165" fontId="27" fillId="0" borderId="0" xfId="0" applyNumberFormat="1" applyFont="1" applyBorder="1" applyAlignment="1"/>
    <xf numFmtId="166" fontId="31" fillId="0" borderId="0" xfId="0" applyNumberFormat="1" applyFont="1" applyFill="1" applyAlignment="1"/>
    <xf numFmtId="166" fontId="31" fillId="0" borderId="0" xfId="0" applyNumberFormat="1" applyFont="1" applyAlignment="1"/>
    <xf numFmtId="166" fontId="26" fillId="0" borderId="0" xfId="0" applyNumberFormat="1" applyFont="1" applyAlignment="1"/>
    <xf numFmtId="166" fontId="26" fillId="0" borderId="0" xfId="0" applyNumberFormat="1" applyFont="1" applyBorder="1" applyAlignment="1"/>
    <xf numFmtId="166" fontId="31" fillId="0" borderId="10" xfId="0" applyNumberFormat="1" applyFont="1" applyBorder="1" applyAlignment="1">
      <alignment horizontal="centerContinuous"/>
    </xf>
    <xf numFmtId="166" fontId="31" fillId="0" borderId="0" xfId="0" applyNumberFormat="1" applyFont="1" applyBorder="1" applyAlignment="1"/>
    <xf numFmtId="165" fontId="26" fillId="0" borderId="0" xfId="0" applyNumberFormat="1" applyFont="1" applyBorder="1" applyAlignment="1"/>
    <xf numFmtId="166" fontId="31" fillId="0" borderId="0" xfId="0" quotePrefix="1" applyNumberFormat="1" applyFont="1" applyBorder="1" applyAlignment="1">
      <alignment horizontal="center"/>
    </xf>
    <xf numFmtId="166" fontId="31" fillId="0" borderId="10" xfId="0" quotePrefix="1" applyNumberFormat="1" applyFont="1" applyBorder="1" applyAlignment="1">
      <alignment horizontal="center"/>
    </xf>
    <xf numFmtId="166" fontId="26" fillId="0" borderId="18" xfId="0" applyNumberFormat="1" applyFont="1" applyBorder="1" applyAlignment="1"/>
    <xf numFmtId="166" fontId="26" fillId="0" borderId="0" xfId="0" applyNumberFormat="1" applyFont="1" applyFill="1" applyBorder="1" applyAlignment="1"/>
    <xf numFmtId="37" fontId="26" fillId="0" borderId="0" xfId="0" applyNumberFormat="1" applyFont="1" applyAlignment="1">
      <alignment horizontal="left"/>
    </xf>
    <xf numFmtId="174" fontId="26" fillId="0" borderId="0" xfId="0" applyNumberFormat="1" applyFont="1" applyAlignment="1"/>
    <xf numFmtId="174" fontId="26" fillId="0" borderId="0" xfId="0" applyNumberFormat="1" applyFont="1" applyAlignment="1">
      <alignment horizontal="right"/>
    </xf>
    <xf numFmtId="174" fontId="26" fillId="0" borderId="0" xfId="0" applyNumberFormat="1" applyFont="1" applyBorder="1" applyAlignment="1"/>
    <xf numFmtId="174" fontId="26" fillId="0" borderId="18" xfId="0" applyNumberFormat="1" applyFont="1" applyBorder="1" applyAlignment="1"/>
    <xf numFmtId="170" fontId="26" fillId="0" borderId="0" xfId="0" applyNumberFormat="1" applyFont="1" applyAlignment="1"/>
    <xf numFmtId="170" fontId="26" fillId="0" borderId="0" xfId="0" applyNumberFormat="1" applyFont="1" applyBorder="1" applyAlignment="1"/>
    <xf numFmtId="170" fontId="26" fillId="0" borderId="18" xfId="0" applyNumberFormat="1" applyFont="1" applyBorder="1" applyAlignment="1"/>
    <xf numFmtId="170" fontId="26" fillId="0" borderId="0" xfId="0" applyNumberFormat="1" applyFont="1" applyAlignment="1">
      <alignment horizontal="right"/>
    </xf>
    <xf numFmtId="170" fontId="26" fillId="0" borderId="0" xfId="0" quotePrefix="1" applyNumberFormat="1" applyFont="1" applyAlignment="1">
      <alignment horizontal="center"/>
    </xf>
    <xf numFmtId="170" fontId="26" fillId="0" borderId="0" xfId="0" applyNumberFormat="1" applyFont="1" applyAlignment="1">
      <alignment horizontal="center"/>
    </xf>
    <xf numFmtId="166" fontId="26" fillId="0" borderId="0" xfId="0" applyNumberFormat="1" applyFont="1" applyFill="1" applyAlignment="1"/>
    <xf numFmtId="165" fontId="26" fillId="0" borderId="0" xfId="0" quotePrefix="1" applyNumberFormat="1" applyFont="1" applyAlignment="1">
      <alignment horizontal="left"/>
    </xf>
    <xf numFmtId="170" fontId="26" fillId="0" borderId="0" xfId="0" applyNumberFormat="1" applyFont="1" applyBorder="1" applyAlignment="1">
      <alignment horizontal="center"/>
    </xf>
    <xf numFmtId="170" fontId="26" fillId="0" borderId="18" xfId="0" applyNumberFormat="1" applyFont="1" applyBorder="1" applyAlignment="1">
      <alignment horizontal="center"/>
    </xf>
    <xf numFmtId="166" fontId="26" fillId="0" borderId="0" xfId="0" quotePrefix="1" applyNumberFormat="1" applyFont="1" applyAlignment="1">
      <alignment horizontal="left"/>
    </xf>
    <xf numFmtId="37" fontId="26" fillId="0" borderId="0" xfId="0" quotePrefix="1" applyNumberFormat="1" applyFont="1" applyAlignment="1">
      <alignment horizontal="left"/>
    </xf>
    <xf numFmtId="170" fontId="31" fillId="0" borderId="16" xfId="0" applyNumberFormat="1" applyFont="1" applyBorder="1" applyAlignment="1"/>
    <xf numFmtId="170" fontId="31" fillId="0" borderId="0" xfId="0" applyNumberFormat="1" applyFont="1" applyAlignment="1"/>
    <xf numFmtId="170" fontId="31" fillId="0" borderId="16" xfId="0" applyNumberFormat="1" applyFont="1" applyBorder="1" applyAlignment="1">
      <alignment horizontal="right"/>
    </xf>
    <xf numFmtId="170" fontId="31" fillId="0" borderId="0" xfId="0" applyNumberFormat="1" applyFont="1" applyBorder="1" applyAlignment="1"/>
    <xf numFmtId="170" fontId="31" fillId="0" borderId="18" xfId="0" applyNumberFormat="1" applyFont="1" applyBorder="1" applyAlignment="1"/>
    <xf numFmtId="170" fontId="26" fillId="0" borderId="0" xfId="0" quotePrefix="1" applyNumberFormat="1" applyFont="1" applyAlignment="1">
      <alignment horizontal="right"/>
    </xf>
    <xf numFmtId="166" fontId="26" fillId="0" borderId="0" xfId="0" quotePrefix="1" applyNumberFormat="1" applyFont="1" applyAlignment="1"/>
    <xf numFmtId="170" fontId="26" fillId="0" borderId="10" xfId="0" applyNumberFormat="1" applyFont="1" applyBorder="1" applyAlignment="1">
      <alignment horizontal="right"/>
    </xf>
    <xf numFmtId="170" fontId="31" fillId="0" borderId="16" xfId="0" quotePrefix="1" applyNumberFormat="1" applyFont="1" applyBorder="1" applyAlignment="1">
      <alignment horizontal="center"/>
    </xf>
    <xf numFmtId="170" fontId="31" fillId="0" borderId="16" xfId="0" applyNumberFormat="1" applyFont="1" applyBorder="1" applyAlignment="1">
      <alignment horizontal="center"/>
    </xf>
    <xf numFmtId="170" fontId="31" fillId="0" borderId="0" xfId="0" applyNumberFormat="1" applyFont="1" applyBorder="1" applyAlignment="1">
      <alignment horizontal="center"/>
    </xf>
    <xf numFmtId="170" fontId="31" fillId="0" borderId="18" xfId="0" applyNumberFormat="1" applyFont="1" applyBorder="1" applyAlignment="1">
      <alignment horizontal="center"/>
    </xf>
    <xf numFmtId="170" fontId="31" fillId="0" borderId="10" xfId="0" applyNumberFormat="1" applyFont="1" applyBorder="1" applyAlignment="1"/>
    <xf numFmtId="170" fontId="26" fillId="0" borderId="0" xfId="0" applyNumberFormat="1" applyFont="1" applyFill="1" applyAlignment="1"/>
    <xf numFmtId="166" fontId="26" fillId="0" borderId="0" xfId="0" quotePrefix="1" applyNumberFormat="1" applyFont="1" applyFill="1" applyAlignment="1">
      <alignment horizontal="left"/>
    </xf>
    <xf numFmtId="170" fontId="26" fillId="0" borderId="0" xfId="0" applyNumberFormat="1" applyFont="1" applyFill="1" applyBorder="1" applyAlignment="1"/>
    <xf numFmtId="170" fontId="26" fillId="0" borderId="18" xfId="0" applyNumberFormat="1" applyFont="1" applyFill="1" applyBorder="1" applyAlignment="1"/>
    <xf numFmtId="165" fontId="31" fillId="0" borderId="0" xfId="0" applyNumberFormat="1" applyFont="1" applyBorder="1" applyAlignment="1"/>
    <xf numFmtId="170" fontId="31" fillId="0" borderId="0" xfId="0" applyNumberFormat="1" applyFont="1" applyFill="1" applyAlignment="1"/>
    <xf numFmtId="170" fontId="46" fillId="0" borderId="0" xfId="0" applyNumberFormat="1" applyFont="1" applyFill="1" applyAlignment="1"/>
    <xf numFmtId="170" fontId="46" fillId="0" borderId="0" xfId="0" applyNumberFormat="1" applyFont="1" applyFill="1" applyBorder="1" applyAlignment="1"/>
    <xf numFmtId="170" fontId="46" fillId="0" borderId="18" xfId="0" applyNumberFormat="1" applyFont="1" applyFill="1" applyBorder="1" applyAlignment="1"/>
    <xf numFmtId="170" fontId="31" fillId="0" borderId="0" xfId="0" applyNumberFormat="1" applyFont="1" applyFill="1" applyBorder="1" applyAlignment="1"/>
    <xf numFmtId="166" fontId="31" fillId="0" borderId="0" xfId="0" applyNumberFormat="1" applyFont="1" applyFill="1" applyBorder="1" applyAlignment="1"/>
    <xf numFmtId="166" fontId="31" fillId="0" borderId="0" xfId="0" quotePrefix="1" applyNumberFormat="1" applyFont="1" applyAlignment="1">
      <alignment horizontal="left"/>
    </xf>
    <xf numFmtId="166" fontId="31" fillId="0" borderId="0" xfId="0" quotePrefix="1" applyNumberFormat="1" applyFont="1" applyFill="1" applyAlignment="1">
      <alignment horizontal="left"/>
    </xf>
    <xf numFmtId="37" fontId="26" fillId="0" borderId="0" xfId="0" applyNumberFormat="1" applyFont="1" applyFill="1" applyAlignment="1">
      <alignment horizontal="left"/>
    </xf>
    <xf numFmtId="174" fontId="31" fillId="0" borderId="17" xfId="0" applyNumberFormat="1" applyFont="1" applyFill="1" applyBorder="1" applyAlignment="1"/>
    <xf numFmtId="174" fontId="31" fillId="0" borderId="0" xfId="0" applyNumberFormat="1" applyFont="1" applyFill="1" applyAlignment="1"/>
    <xf numFmtId="174" fontId="46" fillId="0" borderId="17" xfId="0" applyNumberFormat="1" applyFont="1" applyFill="1" applyBorder="1" applyAlignment="1"/>
    <xf numFmtId="174" fontId="46" fillId="0" borderId="0" xfId="0" applyNumberFormat="1" applyFont="1" applyFill="1" applyAlignment="1"/>
    <xf numFmtId="174" fontId="46" fillId="0" borderId="0" xfId="0" applyNumberFormat="1" applyFont="1" applyFill="1" applyBorder="1" applyAlignment="1"/>
    <xf numFmtId="169" fontId="31" fillId="0" borderId="0" xfId="0" applyNumberFormat="1" applyFont="1" applyFill="1" applyBorder="1" applyAlignment="1"/>
    <xf numFmtId="166" fontId="34" fillId="0" borderId="0" xfId="0" applyNumberFormat="1" applyFont="1" applyBorder="1" applyAlignment="1"/>
    <xf numFmtId="166" fontId="27" fillId="0" borderId="0" xfId="0" applyNumberFormat="1" applyFont="1" applyBorder="1" applyAlignment="1"/>
    <xf numFmtId="165" fontId="27" fillId="0" borderId="0" xfId="0" applyNumberFormat="1" applyFont="1" applyFill="1" applyAlignment="1"/>
    <xf numFmtId="166" fontId="32" fillId="0" borderId="0" xfId="0" applyNumberFormat="1" applyFont="1" applyBorder="1" applyAlignment="1">
      <alignment horizontal="left"/>
    </xf>
    <xf numFmtId="165" fontId="32" fillId="0" borderId="0" xfId="0" applyNumberFormat="1" applyFont="1" applyBorder="1" applyAlignment="1"/>
    <xf numFmtId="165" fontId="33" fillId="0" borderId="0" xfId="0" applyNumberFormat="1" applyFont="1" applyBorder="1" applyAlignment="1"/>
    <xf numFmtId="0" fontId="31" fillId="0" borderId="0" xfId="2" applyNumberFormat="1" applyFont="1" applyAlignment="1"/>
    <xf numFmtId="165" fontId="26" fillId="0" borderId="0" xfId="2" applyNumberFormat="1" applyFont="1" applyAlignment="1"/>
    <xf numFmtId="0" fontId="26" fillId="0" borderId="0" xfId="2" applyNumberFormat="1" applyFont="1" applyAlignment="1"/>
    <xf numFmtId="165" fontId="26" fillId="0" borderId="0" xfId="2" applyNumberFormat="1" applyFont="1" applyAlignment="1" applyProtection="1">
      <protection locked="0"/>
    </xf>
    <xf numFmtId="165" fontId="26" fillId="0" borderId="0" xfId="2" applyNumberFormat="1" applyFont="1" applyBorder="1" applyAlignment="1" applyProtection="1">
      <protection locked="0"/>
    </xf>
    <xf numFmtId="0" fontId="26" fillId="0" borderId="0" xfId="2" applyFont="1"/>
    <xf numFmtId="0" fontId="31" fillId="0" borderId="0" xfId="2" quotePrefix="1" applyNumberFormat="1" applyFont="1" applyAlignment="1">
      <alignment horizontal="left"/>
    </xf>
    <xf numFmtId="0" fontId="26" fillId="0" borderId="0" xfId="2" applyNumberFormat="1" applyFont="1" applyBorder="1" applyAlignment="1"/>
    <xf numFmtId="165" fontId="26" fillId="0" borderId="0" xfId="2" applyNumberFormat="1" applyFont="1" applyBorder="1" applyAlignment="1"/>
    <xf numFmtId="0" fontId="51" fillId="0" borderId="0" xfId="2" applyNumberFormat="1" applyFont="1" applyAlignment="1"/>
    <xf numFmtId="165" fontId="51" fillId="0" borderId="0" xfId="2" applyNumberFormat="1" applyFont="1" applyBorder="1" applyAlignment="1" applyProtection="1">
      <alignment horizontal="center"/>
      <protection locked="0"/>
    </xf>
    <xf numFmtId="165" fontId="51" fillId="0" borderId="0" xfId="2" applyNumberFormat="1" applyFont="1" applyAlignment="1" applyProtection="1">
      <protection locked="0"/>
    </xf>
    <xf numFmtId="165" fontId="51" fillId="0" borderId="0" xfId="2" applyNumberFormat="1" applyFont="1" applyAlignment="1"/>
    <xf numFmtId="0" fontId="26" fillId="0" borderId="20" xfId="2" applyNumberFormat="1" applyFont="1" applyBorder="1" applyAlignment="1"/>
    <xf numFmtId="165" fontId="26" fillId="0" borderId="20" xfId="2" applyNumberFormat="1" applyFont="1" applyBorder="1" applyAlignment="1"/>
    <xf numFmtId="165" fontId="51" fillId="0" borderId="0" xfId="2" applyNumberFormat="1" applyFont="1" applyBorder="1" applyAlignment="1" applyProtection="1">
      <protection locked="0"/>
    </xf>
    <xf numFmtId="0" fontId="26" fillId="0" borderId="21" xfId="2" applyNumberFormat="1" applyFont="1" applyBorder="1" applyAlignment="1"/>
    <xf numFmtId="0" fontId="26" fillId="0" borderId="22" xfId="2" applyNumberFormat="1" applyFont="1" applyBorder="1" applyAlignment="1"/>
    <xf numFmtId="175" fontId="26" fillId="0" borderId="0" xfId="2" applyNumberFormat="1" applyFont="1" applyAlignment="1"/>
    <xf numFmtId="175" fontId="26" fillId="0" borderId="21" xfId="2" applyNumberFormat="1" applyFont="1" applyBorder="1" applyAlignment="1"/>
    <xf numFmtId="175" fontId="26" fillId="0" borderId="0" xfId="2" applyNumberFormat="1" applyFont="1" applyBorder="1" applyAlignment="1"/>
    <xf numFmtId="174" fontId="26" fillId="0" borderId="0" xfId="2" applyNumberFormat="1" applyFont="1" applyAlignment="1"/>
    <xf numFmtId="174" fontId="26" fillId="0" borderId="0" xfId="2" applyNumberFormat="1" applyFont="1" applyBorder="1" applyAlignment="1"/>
    <xf numFmtId="168" fontId="51" fillId="0" borderId="0" xfId="2" applyNumberFormat="1" applyFont="1" applyAlignment="1"/>
    <xf numFmtId="169" fontId="26" fillId="0" borderId="0" xfId="2" applyNumberFormat="1" applyFont="1" applyBorder="1" applyAlignment="1"/>
    <xf numFmtId="168" fontId="51" fillId="0" borderId="0" xfId="2" applyNumberFormat="1" applyFont="1" applyAlignment="1" applyProtection="1">
      <protection locked="0"/>
    </xf>
    <xf numFmtId="0" fontId="26" fillId="0" borderId="0" xfId="2" quotePrefix="1" applyNumberFormat="1" applyFont="1" applyAlignment="1">
      <alignment horizontal="left"/>
    </xf>
    <xf numFmtId="170" fontId="51" fillId="0" borderId="0" xfId="2" applyNumberFormat="1" applyFont="1" applyAlignment="1"/>
    <xf numFmtId="170" fontId="26" fillId="0" borderId="0" xfId="2" applyNumberFormat="1" applyFont="1" applyBorder="1" applyAlignment="1"/>
    <xf numFmtId="170" fontId="26" fillId="0" borderId="21" xfId="2" applyNumberFormat="1" applyFont="1" applyBorder="1" applyAlignment="1"/>
    <xf numFmtId="170" fontId="0" fillId="0" borderId="0" xfId="2" applyNumberFormat="1" applyFont="1" applyBorder="1"/>
    <xf numFmtId="170" fontId="26" fillId="0" borderId="18" xfId="2" applyNumberFormat="1" applyFont="1" applyBorder="1" applyAlignment="1"/>
    <xf numFmtId="166" fontId="26" fillId="0" borderId="0" xfId="2" applyNumberFormat="1" applyFont="1" applyBorder="1" applyAlignment="1"/>
    <xf numFmtId="170" fontId="26" fillId="0" borderId="0" xfId="2" quotePrefix="1" applyNumberFormat="1" applyFont="1" applyBorder="1" applyAlignment="1"/>
    <xf numFmtId="170" fontId="26" fillId="0" borderId="0" xfId="2" applyNumberFormat="1" applyFont="1" applyBorder="1" applyAlignment="1">
      <alignment horizontal="center"/>
    </xf>
    <xf numFmtId="170" fontId="31" fillId="0" borderId="16" xfId="2" applyNumberFormat="1" applyFont="1" applyBorder="1" applyAlignment="1"/>
    <xf numFmtId="170" fontId="31" fillId="0" borderId="0" xfId="2" applyNumberFormat="1" applyFont="1" applyAlignment="1"/>
    <xf numFmtId="170" fontId="31" fillId="0" borderId="26" xfId="2" applyNumberFormat="1" applyFont="1" applyBorder="1" applyAlignment="1"/>
    <xf numFmtId="170" fontId="31" fillId="0" borderId="21" xfId="2" applyNumberFormat="1" applyFont="1" applyBorder="1" applyAlignment="1"/>
    <xf numFmtId="165" fontId="52" fillId="0" borderId="0" xfId="2" applyNumberFormat="1" applyFont="1" applyAlignment="1"/>
    <xf numFmtId="170" fontId="26" fillId="0" borderId="0" xfId="2" applyNumberFormat="1" applyFont="1" applyAlignment="1"/>
    <xf numFmtId="170" fontId="26" fillId="0" borderId="0" xfId="2" applyNumberFormat="1" applyFont="1" applyFill="1" applyBorder="1" applyAlignment="1"/>
    <xf numFmtId="170" fontId="26" fillId="0" borderId="0" xfId="2" applyNumberFormat="1" applyFont="1" applyFill="1" applyBorder="1" applyAlignment="1">
      <alignment horizontal="center"/>
    </xf>
    <xf numFmtId="170" fontId="26" fillId="0" borderId="0" xfId="2" quotePrefix="1" applyNumberFormat="1" applyFont="1" applyBorder="1" applyAlignment="1">
      <alignment horizontal="right"/>
    </xf>
    <xf numFmtId="170" fontId="26" fillId="0" borderId="0" xfId="2" quotePrefix="1" applyNumberFormat="1" applyFont="1" applyBorder="1" applyAlignment="1">
      <alignment horizontal="center"/>
    </xf>
    <xf numFmtId="170" fontId="26" fillId="0" borderId="0" xfId="2" applyNumberFormat="1" applyFont="1" applyAlignment="1">
      <alignment horizontal="center"/>
    </xf>
    <xf numFmtId="170" fontId="26" fillId="0" borderId="0" xfId="2" applyNumberFormat="1" applyFont="1" applyFill="1" applyBorder="1" applyAlignment="1">
      <alignment horizontal="right"/>
    </xf>
    <xf numFmtId="170" fontId="31" fillId="0" borderId="29" xfId="2" applyNumberFormat="1" applyFont="1" applyBorder="1" applyAlignment="1"/>
    <xf numFmtId="170" fontId="31" fillId="0" borderId="30" xfId="2" applyNumberFormat="1" applyFont="1" applyBorder="1" applyAlignment="1"/>
    <xf numFmtId="170" fontId="31" fillId="0" borderId="10" xfId="2" quotePrefix="1" applyNumberFormat="1" applyFont="1" applyBorder="1" applyAlignment="1">
      <alignment horizontal="center"/>
    </xf>
    <xf numFmtId="170" fontId="31" fillId="0" borderId="10" xfId="2" applyNumberFormat="1" applyFont="1" applyBorder="1" applyAlignment="1"/>
    <xf numFmtId="170" fontId="31" fillId="0" borderId="25" xfId="2" applyNumberFormat="1" applyFont="1" applyBorder="1" applyAlignment="1"/>
    <xf numFmtId="170" fontId="31" fillId="0" borderId="0" xfId="2" applyNumberFormat="1" applyFont="1" applyBorder="1" applyAlignment="1"/>
    <xf numFmtId="170" fontId="26" fillId="0" borderId="0" xfId="2" applyNumberFormat="1" applyFont="1" applyAlignment="1">
      <alignment horizontal="right"/>
    </xf>
    <xf numFmtId="170" fontId="26" fillId="0" borderId="0" xfId="2" applyNumberFormat="1" applyFont="1" applyBorder="1" applyAlignment="1">
      <alignment horizontal="right"/>
    </xf>
    <xf numFmtId="170" fontId="26" fillId="0" borderId="13" xfId="2" applyNumberFormat="1" applyFont="1" applyBorder="1" applyAlignment="1"/>
    <xf numFmtId="175" fontId="26" fillId="0" borderId="0" xfId="2" quotePrefix="1" applyNumberFormat="1" applyFont="1" applyBorder="1" applyAlignment="1">
      <alignment horizontal="center"/>
    </xf>
    <xf numFmtId="175" fontId="26" fillId="0" borderId="0" xfId="2" quotePrefix="1" applyNumberFormat="1" applyFont="1" applyBorder="1" applyAlignment="1"/>
    <xf numFmtId="170" fontId="26" fillId="0" borderId="10" xfId="2" quotePrefix="1" applyNumberFormat="1" applyFont="1" applyBorder="1" applyAlignment="1">
      <alignment horizontal="center"/>
    </xf>
    <xf numFmtId="170" fontId="26" fillId="0" borderId="10" xfId="2" quotePrefix="1" applyNumberFormat="1" applyFont="1" applyBorder="1" applyAlignment="1"/>
    <xf numFmtId="170" fontId="31" fillId="0" borderId="0" xfId="2" quotePrefix="1" applyNumberFormat="1" applyFont="1" applyBorder="1" applyAlignment="1">
      <alignment horizontal="center"/>
    </xf>
    <xf numFmtId="170" fontId="31" fillId="0" borderId="0" xfId="2" applyNumberFormat="1" applyFont="1" applyAlignment="1">
      <alignment horizontal="center"/>
    </xf>
    <xf numFmtId="170" fontId="31" fillId="0" borderId="16" xfId="2" quotePrefix="1" applyNumberFormat="1" applyFont="1" applyBorder="1" applyAlignment="1"/>
    <xf numFmtId="170" fontId="31" fillId="0" borderId="0" xfId="2" applyNumberFormat="1" applyFont="1" applyAlignment="1">
      <alignment horizontal="right"/>
    </xf>
    <xf numFmtId="170" fontId="31" fillId="0" borderId="32" xfId="2" quotePrefix="1" applyNumberFormat="1" applyFont="1" applyBorder="1" applyAlignment="1">
      <alignment horizontal="right"/>
    </xf>
    <xf numFmtId="170" fontId="31" fillId="0" borderId="27" xfId="2" quotePrefix="1" applyNumberFormat="1" applyFont="1" applyBorder="1" applyAlignment="1"/>
    <xf numFmtId="170" fontId="31" fillId="0" borderId="10" xfId="2" quotePrefix="1" applyNumberFormat="1" applyFont="1" applyBorder="1" applyAlignment="1"/>
    <xf numFmtId="175" fontId="26" fillId="0" borderId="0" xfId="2" quotePrefix="1" applyNumberFormat="1" applyFont="1" applyBorder="1" applyAlignment="1">
      <alignment horizontal="right"/>
    </xf>
    <xf numFmtId="170" fontId="26" fillId="0" borderId="20" xfId="2" applyNumberFormat="1" applyFont="1" applyBorder="1" applyAlignment="1"/>
    <xf numFmtId="170" fontId="31" fillId="0" borderId="0" xfId="2" applyNumberFormat="1" applyFont="1" applyAlignment="1">
      <alignment vertical="center"/>
    </xf>
    <xf numFmtId="170" fontId="31" fillId="0" borderId="14" xfId="2" applyNumberFormat="1" applyFont="1" applyBorder="1" applyAlignment="1"/>
    <xf numFmtId="175" fontId="31" fillId="0" borderId="0" xfId="2" applyNumberFormat="1" applyFont="1" applyBorder="1" applyAlignment="1"/>
    <xf numFmtId="165" fontId="52" fillId="0" borderId="0" xfId="2" applyNumberFormat="1" applyFont="1" applyAlignment="1" applyProtection="1">
      <protection locked="0"/>
    </xf>
    <xf numFmtId="174" fontId="31" fillId="0" borderId="20" xfId="2" applyNumberFormat="1" applyFont="1" applyBorder="1" applyAlignment="1"/>
    <xf numFmtId="174" fontId="31" fillId="0" borderId="0" xfId="2" applyNumberFormat="1" applyFont="1" applyAlignment="1"/>
    <xf numFmtId="174" fontId="31" fillId="0" borderId="21" xfId="2" applyNumberFormat="1" applyFont="1" applyBorder="1" applyAlignment="1"/>
    <xf numFmtId="174" fontId="31" fillId="0" borderId="22" xfId="2" applyNumberFormat="1" applyFont="1" applyBorder="1" applyAlignment="1"/>
    <xf numFmtId="174" fontId="31" fillId="0" borderId="34" xfId="2" applyNumberFormat="1" applyFont="1" applyBorder="1" applyAlignment="1"/>
    <xf numFmtId="174" fontId="31" fillId="0" borderId="35" xfId="2" applyNumberFormat="1" applyFont="1" applyBorder="1" applyAlignment="1"/>
    <xf numFmtId="169" fontId="26" fillId="0" borderId="0" xfId="2" applyNumberFormat="1" applyFont="1" applyAlignment="1"/>
    <xf numFmtId="168" fontId="51" fillId="0" borderId="0" xfId="2" applyNumberFormat="1" applyFont="1" applyBorder="1" applyAlignment="1" applyProtection="1">
      <protection locked="0"/>
    </xf>
    <xf numFmtId="0" fontId="0" fillId="0" borderId="0" xfId="2" applyFont="1"/>
    <xf numFmtId="166" fontId="53" fillId="0" borderId="0" xfId="2" applyNumberFormat="1" applyFont="1" applyAlignment="1"/>
    <xf numFmtId="0" fontId="51" fillId="0" borderId="0" xfId="2" applyNumberFormat="1" applyFont="1" applyBorder="1" applyAlignment="1"/>
    <xf numFmtId="165" fontId="51" fillId="0" borderId="0" xfId="2" applyNumberFormat="1" applyFont="1" applyBorder="1" applyAlignment="1"/>
    <xf numFmtId="0" fontId="31" fillId="0" borderId="0" xfId="2" applyNumberFormat="1" applyFont="1" applyFill="1" applyAlignment="1"/>
    <xf numFmtId="165" fontId="26" fillId="0" borderId="0" xfId="2" applyNumberFormat="1" applyFont="1" applyFill="1" applyAlignment="1"/>
    <xf numFmtId="0" fontId="26" fillId="0" borderId="0" xfId="2" applyNumberFormat="1" applyFont="1" applyFill="1" applyAlignment="1"/>
    <xf numFmtId="0" fontId="31" fillId="0" borderId="0" xfId="2" quotePrefix="1" applyNumberFormat="1" applyFont="1" applyFill="1" applyAlignment="1">
      <alignment horizontal="left"/>
    </xf>
    <xf numFmtId="0" fontId="26" fillId="0" borderId="0" xfId="2" applyNumberFormat="1" applyFont="1" applyFill="1" applyBorder="1" applyAlignment="1"/>
    <xf numFmtId="0" fontId="31" fillId="0" borderId="0" xfId="2" applyNumberFormat="1" applyFont="1" applyFill="1" applyAlignment="1">
      <alignment horizontal="centerContinuous"/>
    </xf>
    <xf numFmtId="170" fontId="31" fillId="0" borderId="16" xfId="2" applyNumberFormat="1" applyFont="1" applyFill="1" applyBorder="1" applyAlignment="1">
      <alignment horizontal="right"/>
    </xf>
    <xf numFmtId="170" fontId="31" fillId="0" borderId="0" xfId="2" applyNumberFormat="1" applyFont="1" applyFill="1" applyAlignment="1"/>
    <xf numFmtId="170" fontId="31" fillId="0" borderId="10" xfId="2" applyNumberFormat="1" applyFont="1" applyFill="1" applyBorder="1" applyAlignment="1"/>
    <xf numFmtId="170" fontId="31" fillId="0" borderId="32" xfId="2" applyNumberFormat="1" applyFont="1" applyFill="1" applyBorder="1" applyAlignment="1">
      <alignment horizontal="right"/>
    </xf>
    <xf numFmtId="170" fontId="31" fillId="0" borderId="0" xfId="2" applyNumberFormat="1" applyFont="1" applyFill="1" applyBorder="1" applyAlignment="1"/>
    <xf numFmtId="170" fontId="31" fillId="0" borderId="27" xfId="2" applyNumberFormat="1" applyFont="1" applyFill="1" applyBorder="1" applyAlignment="1">
      <alignment horizontal="right"/>
    </xf>
    <xf numFmtId="166" fontId="26" fillId="0" borderId="0" xfId="2" applyNumberFormat="1" applyFont="1" applyFill="1" applyBorder="1" applyAlignment="1"/>
    <xf numFmtId="170" fontId="26" fillId="0" borderId="0" xfId="2" applyNumberFormat="1" applyFont="1" applyFill="1" applyAlignment="1"/>
    <xf numFmtId="170" fontId="26" fillId="0" borderId="0" xfId="2" applyNumberFormat="1" applyFont="1" applyFill="1" applyAlignment="1">
      <alignment horizontal="right"/>
    </xf>
    <xf numFmtId="170" fontId="51" fillId="0" borderId="0" xfId="2" applyNumberFormat="1" applyFont="1" applyFill="1" applyAlignment="1">
      <alignment horizontal="right"/>
    </xf>
    <xf numFmtId="170" fontId="31" fillId="0" borderId="10" xfId="2" applyNumberFormat="1" applyFont="1" applyFill="1" applyBorder="1" applyAlignment="1">
      <alignment horizontal="right"/>
    </xf>
    <xf numFmtId="170" fontId="31" fillId="0" borderId="12" xfId="2" applyNumberFormat="1" applyFont="1" applyFill="1" applyBorder="1" applyAlignment="1">
      <alignment horizontal="right"/>
    </xf>
    <xf numFmtId="170" fontId="31" fillId="0" borderId="11" xfId="2" applyNumberFormat="1" applyFont="1" applyFill="1" applyBorder="1" applyAlignment="1">
      <alignment horizontal="right"/>
    </xf>
    <xf numFmtId="170" fontId="31" fillId="0" borderId="16" xfId="2" applyNumberFormat="1" applyFont="1" applyFill="1" applyBorder="1" applyAlignment="1">
      <alignment horizontal="center"/>
    </xf>
    <xf numFmtId="170" fontId="31" fillId="0" borderId="32" xfId="2" applyNumberFormat="1" applyFont="1" applyFill="1" applyBorder="1" applyAlignment="1">
      <alignment horizontal="center"/>
    </xf>
    <xf numFmtId="170" fontId="31" fillId="0" borderId="27" xfId="2" applyNumberFormat="1" applyFont="1" applyFill="1" applyBorder="1" applyAlignment="1">
      <alignment horizontal="center"/>
    </xf>
    <xf numFmtId="170" fontId="26" fillId="0" borderId="20" xfId="2" applyNumberFormat="1" applyFont="1" applyFill="1" applyBorder="1" applyAlignment="1"/>
    <xf numFmtId="170" fontId="26" fillId="0" borderId="0" xfId="2" applyNumberFormat="1" applyFont="1" applyFill="1" applyAlignment="1">
      <alignment horizontal="center"/>
    </xf>
    <xf numFmtId="170" fontId="31" fillId="0" borderId="0" xfId="2" quotePrefix="1" applyNumberFormat="1" applyFont="1" applyFill="1" applyBorder="1" applyAlignment="1">
      <alignment horizontal="right"/>
    </xf>
    <xf numFmtId="170" fontId="31" fillId="0" borderId="13" xfId="2" quotePrefix="1" applyNumberFormat="1" applyFont="1" applyFill="1" applyBorder="1" applyAlignment="1">
      <alignment horizontal="right"/>
    </xf>
    <xf numFmtId="170" fontId="31" fillId="0" borderId="28" xfId="2" quotePrefix="1" applyNumberFormat="1" applyFont="1" applyFill="1" applyBorder="1" applyAlignment="1">
      <alignment horizontal="right"/>
    </xf>
    <xf numFmtId="170" fontId="31" fillId="0" borderId="10" xfId="2" quotePrefix="1" applyNumberFormat="1" applyFont="1" applyFill="1" applyBorder="1" applyAlignment="1">
      <alignment horizontal="right"/>
    </xf>
    <xf numFmtId="170" fontId="31" fillId="0" borderId="13" xfId="2" applyNumberFormat="1" applyFont="1" applyFill="1" applyBorder="1" applyAlignment="1">
      <alignment horizontal="right"/>
    </xf>
    <xf numFmtId="170" fontId="31" fillId="0" borderId="28" xfId="2" applyNumberFormat="1" applyFont="1" applyFill="1" applyBorder="1" applyAlignment="1">
      <alignment horizontal="right"/>
    </xf>
    <xf numFmtId="174" fontId="31" fillId="0" borderId="20" xfId="2" applyNumberFormat="1" applyFont="1" applyFill="1" applyBorder="1" applyAlignment="1">
      <alignment horizontal="right"/>
    </xf>
    <xf numFmtId="174" fontId="31" fillId="0" borderId="0" xfId="2" applyNumberFormat="1" applyFont="1" applyFill="1" applyAlignment="1"/>
    <xf numFmtId="174" fontId="31" fillId="0" borderId="20" xfId="2" applyNumberFormat="1" applyFont="1" applyFill="1" applyBorder="1" applyAlignment="1"/>
    <xf numFmtId="174" fontId="31" fillId="0" borderId="0" xfId="2" applyNumberFormat="1" applyFont="1" applyFill="1" applyAlignment="1">
      <alignment horizontal="center"/>
    </xf>
    <xf numFmtId="174" fontId="31" fillId="0" borderId="39" xfId="2" applyNumberFormat="1" applyFont="1" applyFill="1" applyBorder="1" applyAlignment="1">
      <alignment horizontal="right"/>
    </xf>
    <xf numFmtId="174" fontId="31" fillId="0" borderId="0" xfId="2" applyNumberFormat="1" applyFont="1" applyFill="1" applyBorder="1" applyAlignment="1"/>
    <xf numFmtId="166" fontId="26" fillId="0" borderId="0" xfId="2" applyNumberFormat="1" applyFont="1" applyFill="1" applyAlignment="1"/>
    <xf numFmtId="0" fontId="54" fillId="33" borderId="0" xfId="2" applyNumberFormat="1" applyFont="1" applyFill="1" applyAlignment="1">
      <alignment horizontal="left"/>
    </xf>
    <xf numFmtId="37" fontId="29" fillId="33" borderId="0" xfId="2" applyNumberFormat="1" applyFont="1" applyFill="1" applyAlignment="1"/>
    <xf numFmtId="37" fontId="29" fillId="0" borderId="0" xfId="2" applyNumberFormat="1" applyFont="1" applyAlignment="1"/>
    <xf numFmtId="37" fontId="55" fillId="0" borderId="0" xfId="2" applyNumberFormat="1" applyFont="1" applyFill="1" applyAlignment="1">
      <alignment horizontal="center"/>
    </xf>
    <xf numFmtId="37" fontId="56" fillId="0" borderId="0" xfId="2" applyNumberFormat="1" applyFont="1" applyFill="1" applyAlignment="1">
      <alignment horizontal="center"/>
    </xf>
    <xf numFmtId="37" fontId="57" fillId="0" borderId="0" xfId="2" applyNumberFormat="1" applyFont="1" applyFill="1" applyAlignment="1"/>
    <xf numFmtId="0" fontId="54" fillId="0" borderId="0" xfId="2" quotePrefix="1" applyNumberFormat="1" applyFont="1" applyFill="1" applyAlignment="1" applyProtection="1">
      <alignment horizontal="left"/>
      <protection locked="0"/>
    </xf>
    <xf numFmtId="37" fontId="29" fillId="0" borderId="0" xfId="2" applyNumberFormat="1" applyFont="1" applyFill="1" applyBorder="1" applyAlignment="1"/>
    <xf numFmtId="37" fontId="29" fillId="0" borderId="0" xfId="2" applyNumberFormat="1" applyFont="1" applyFill="1" applyAlignment="1"/>
    <xf numFmtId="0" fontId="49" fillId="0" borderId="0" xfId="2" applyNumberFormat="1" applyFont="1" applyAlignment="1"/>
    <xf numFmtId="0" fontId="27" fillId="0" borderId="0" xfId="2" applyNumberFormat="1" applyFont="1" applyAlignment="1"/>
    <xf numFmtId="37" fontId="31" fillId="0" borderId="0" xfId="2" applyNumberFormat="1" applyFont="1" applyBorder="1" applyAlignment="1"/>
    <xf numFmtId="37" fontId="31" fillId="0" borderId="0" xfId="2" applyNumberFormat="1" applyFont="1" applyAlignment="1"/>
    <xf numFmtId="37" fontId="31" fillId="0" borderId="0" xfId="2" applyNumberFormat="1" applyFont="1" applyAlignment="1">
      <alignment horizontal="center"/>
    </xf>
    <xf numFmtId="37" fontId="31" fillId="0" borderId="0" xfId="2" quotePrefix="1" applyNumberFormat="1" applyFont="1" applyAlignment="1">
      <alignment horizontal="center"/>
    </xf>
    <xf numFmtId="3" fontId="29" fillId="0" borderId="0" xfId="2" applyNumberFormat="1" applyFont="1" applyAlignment="1"/>
    <xf numFmtId="37" fontId="29" fillId="0" borderId="0" xfId="2" applyNumberFormat="1" applyFont="1" applyBorder="1" applyAlignment="1"/>
    <xf numFmtId="37" fontId="29" fillId="0" borderId="20" xfId="2" applyNumberFormat="1" applyFont="1" applyBorder="1" applyAlignment="1"/>
    <xf numFmtId="37" fontId="26" fillId="0" borderId="0" xfId="2" applyNumberFormat="1" applyFont="1" applyBorder="1" applyAlignment="1"/>
    <xf numFmtId="37" fontId="26" fillId="0" borderId="0" xfId="2" applyNumberFormat="1" applyFont="1" applyAlignment="1"/>
    <xf numFmtId="37" fontId="26" fillId="0" borderId="0" xfId="2" applyNumberFormat="1" applyFont="1" applyAlignment="1">
      <alignment horizontal="right"/>
    </xf>
    <xf numFmtId="5" fontId="26" fillId="0" borderId="0" xfId="2" applyNumberFormat="1" applyFont="1" applyAlignment="1"/>
    <xf numFmtId="0" fontId="26" fillId="0" borderId="0" xfId="2" applyNumberFormat="1" applyFont="1" applyAlignment="1">
      <alignment horizontal="left"/>
    </xf>
    <xf numFmtId="174" fontId="26" fillId="0" borderId="0" xfId="2" applyNumberFormat="1" applyFont="1" applyAlignment="1">
      <alignment horizontal="right"/>
    </xf>
    <xf numFmtId="37" fontId="26" fillId="0" borderId="0" xfId="2" quotePrefix="1" applyNumberFormat="1" applyFont="1" applyAlignment="1">
      <alignment horizontal="center"/>
    </xf>
    <xf numFmtId="166" fontId="26" fillId="0" borderId="0" xfId="2" applyNumberFormat="1" applyFont="1" applyAlignment="1"/>
    <xf numFmtId="166" fontId="31" fillId="0" borderId="0" xfId="2" applyNumberFormat="1" applyFont="1" applyBorder="1" applyAlignment="1"/>
    <xf numFmtId="166" fontId="0" fillId="0" borderId="0" xfId="2" applyNumberFormat="1" applyFont="1"/>
    <xf numFmtId="166" fontId="26" fillId="0" borderId="20" xfId="2" applyNumberFormat="1" applyFont="1" applyBorder="1" applyAlignment="1"/>
    <xf numFmtId="166" fontId="26" fillId="0" borderId="0" xfId="2" applyNumberFormat="1" applyFont="1" applyAlignment="1">
      <alignment horizontal="right"/>
    </xf>
    <xf numFmtId="170" fontId="26" fillId="0" borderId="0" xfId="2" quotePrefix="1" applyNumberFormat="1" applyFont="1" applyAlignment="1">
      <alignment horizontal="center"/>
    </xf>
    <xf numFmtId="166" fontId="26" fillId="0" borderId="0" xfId="2" quotePrefix="1" applyNumberFormat="1" applyFont="1" applyAlignment="1">
      <alignment horizontal="center"/>
    </xf>
    <xf numFmtId="166" fontId="26" fillId="0" borderId="0" xfId="2" applyNumberFormat="1" applyFont="1" applyBorder="1" applyAlignment="1">
      <alignment horizontal="right"/>
    </xf>
    <xf numFmtId="0" fontId="31" fillId="0" borderId="0" xfId="2" applyNumberFormat="1" applyFont="1" applyAlignment="1">
      <alignment horizontal="left"/>
    </xf>
    <xf numFmtId="37" fontId="31" fillId="0" borderId="0" xfId="2" applyNumberFormat="1" applyFont="1" applyBorder="1" applyAlignment="1">
      <alignment horizontal="right"/>
    </xf>
    <xf numFmtId="37" fontId="31" fillId="0" borderId="0" xfId="2" applyNumberFormat="1" applyFont="1" applyAlignment="1">
      <alignment horizontal="right"/>
    </xf>
    <xf numFmtId="37" fontId="26" fillId="0" borderId="0" xfId="2" applyNumberFormat="1" applyFont="1" applyBorder="1"/>
    <xf numFmtId="37" fontId="26" fillId="0" borderId="0" xfId="2" applyNumberFormat="1" applyFont="1"/>
    <xf numFmtId="166" fontId="26" fillId="0" borderId="0" xfId="2" applyNumberFormat="1" applyFont="1" applyBorder="1"/>
    <xf numFmtId="3" fontId="26" fillId="0" borderId="0" xfId="2" applyNumberFormat="1" applyFont="1" applyAlignment="1"/>
    <xf numFmtId="3" fontId="31" fillId="0" borderId="0" xfId="2" applyNumberFormat="1" applyFont="1" applyAlignment="1">
      <alignment horizontal="right"/>
    </xf>
    <xf numFmtId="174" fontId="31" fillId="0" borderId="0" xfId="2" applyNumberFormat="1" applyFont="1" applyAlignment="1">
      <alignment horizontal="right"/>
    </xf>
    <xf numFmtId="169" fontId="31" fillId="0" borderId="0" xfId="2" applyNumberFormat="1" applyFont="1" applyBorder="1" applyAlignment="1"/>
    <xf numFmtId="166" fontId="51" fillId="0" borderId="0" xfId="2" quotePrefix="1" applyNumberFormat="1" applyFont="1" applyAlignment="1">
      <alignment horizontal="left"/>
    </xf>
    <xf numFmtId="166" fontId="59" fillId="0" borderId="0" xfId="2" quotePrefix="1" applyNumberFormat="1" applyFont="1" applyAlignment="1">
      <alignment horizontal="left"/>
    </xf>
    <xf numFmtId="0" fontId="60" fillId="0" borderId="0" xfId="2" applyNumberFormat="1" applyFont="1" applyAlignment="1"/>
    <xf numFmtId="37" fontId="53" fillId="0" borderId="0" xfId="2" applyNumberFormat="1" applyFont="1" applyBorder="1"/>
    <xf numFmtId="37" fontId="53" fillId="0" borderId="0" xfId="2" applyNumberFormat="1" applyFont="1"/>
    <xf numFmtId="0" fontId="61" fillId="0" borderId="0" xfId="2" applyNumberFormat="1" applyFont="1" applyFill="1" applyAlignment="1"/>
    <xf numFmtId="37" fontId="53" fillId="0" borderId="0" xfId="2" applyNumberFormat="1" applyFont="1" applyFill="1" applyBorder="1"/>
    <xf numFmtId="37" fontId="53" fillId="0" borderId="0" xfId="2" applyNumberFormat="1" applyFont="1" applyAlignment="1"/>
    <xf numFmtId="0" fontId="54" fillId="0" borderId="0" xfId="2" applyNumberFormat="1" applyFont="1" applyFill="1" applyAlignment="1">
      <alignment horizontal="left"/>
    </xf>
    <xf numFmtId="37" fontId="54" fillId="0" borderId="0" xfId="2" applyNumberFormat="1" applyFont="1" applyBorder="1" applyAlignment="1">
      <alignment horizontal="right"/>
    </xf>
    <xf numFmtId="0" fontId="49" fillId="0" borderId="0" xfId="2" applyNumberFormat="1" applyFont="1" applyFill="1" applyAlignment="1"/>
    <xf numFmtId="37" fontId="31" fillId="0" borderId="0" xfId="2" applyNumberFormat="1" applyFont="1" applyBorder="1" applyAlignment="1">
      <alignment horizontal="centerContinuous"/>
    </xf>
    <xf numFmtId="37" fontId="31" fillId="0" borderId="0" xfId="2" applyNumberFormat="1" applyFont="1" applyBorder="1" applyAlignment="1">
      <alignment horizontal="left"/>
    </xf>
    <xf numFmtId="0" fontId="31" fillId="0" borderId="0" xfId="2" applyFont="1" applyFill="1" applyBorder="1" applyAlignment="1">
      <alignment horizontal="center"/>
    </xf>
    <xf numFmtId="0" fontId="62" fillId="0" borderId="0" xfId="2" applyFont="1" applyFill="1" applyBorder="1" applyAlignment="1">
      <alignment horizontal="center"/>
    </xf>
    <xf numFmtId="37" fontId="31" fillId="0" borderId="0" xfId="2" applyNumberFormat="1" applyFont="1" applyFill="1" applyAlignment="1"/>
    <xf numFmtId="37" fontId="31" fillId="0" borderId="0" xfId="2" applyNumberFormat="1" applyFont="1" applyFill="1" applyAlignment="1">
      <alignment horizontal="center"/>
    </xf>
    <xf numFmtId="37" fontId="31" fillId="0" borderId="0" xfId="2" quotePrefix="1" applyNumberFormat="1" applyFont="1" applyBorder="1" applyAlignment="1">
      <alignment horizontal="center"/>
    </xf>
    <xf numFmtId="37" fontId="31" fillId="0" borderId="0" xfId="2" applyNumberFormat="1" applyFont="1" applyBorder="1" applyAlignment="1">
      <alignment horizontal="center"/>
    </xf>
    <xf numFmtId="37" fontId="58" fillId="0" borderId="0" xfId="2" quotePrefix="1" applyNumberFormat="1" applyFont="1" applyBorder="1" applyAlignment="1">
      <alignment horizontal="centerContinuous"/>
    </xf>
    <xf numFmtId="37" fontId="51" fillId="0" borderId="0" xfId="2" applyNumberFormat="1" applyFont="1" applyBorder="1" applyAlignment="1"/>
    <xf numFmtId="0" fontId="36" fillId="0" borderId="0" xfId="2" applyFont="1"/>
    <xf numFmtId="37" fontId="31" fillId="0" borderId="0" xfId="2" applyNumberFormat="1" applyFont="1" applyFill="1" applyBorder="1" applyAlignment="1">
      <alignment horizontal="centerContinuous"/>
    </xf>
    <xf numFmtId="0" fontId="31" fillId="0" borderId="0" xfId="2" applyFont="1" applyBorder="1" applyAlignment="1">
      <alignment horizontal="center"/>
    </xf>
    <xf numFmtId="166" fontId="31" fillId="0" borderId="0" xfId="2" applyNumberFormat="1" applyFont="1" applyAlignment="1"/>
    <xf numFmtId="165" fontId="53" fillId="0" borderId="0" xfId="2" applyNumberFormat="1" applyFont="1" applyAlignment="1"/>
    <xf numFmtId="165" fontId="31" fillId="0" borderId="0" xfId="2" applyNumberFormat="1" applyFont="1" applyAlignment="1">
      <alignment horizontal="right"/>
    </xf>
    <xf numFmtId="165" fontId="31" fillId="0" borderId="0" xfId="2" applyNumberFormat="1" applyFont="1" applyAlignment="1"/>
    <xf numFmtId="165" fontId="31" fillId="0" borderId="0" xfId="2" applyNumberFormat="1" applyFont="1" applyBorder="1" applyAlignment="1"/>
    <xf numFmtId="165" fontId="26" fillId="0" borderId="0" xfId="2" applyNumberFormat="1" applyFont="1" applyAlignment="1">
      <alignment horizontal="center"/>
    </xf>
    <xf numFmtId="165" fontId="26" fillId="0" borderId="21" xfId="2" applyNumberFormat="1" applyFont="1" applyBorder="1" applyAlignment="1"/>
    <xf numFmtId="165" fontId="53" fillId="0" borderId="0" xfId="2" applyNumberFormat="1" applyFont="1" applyBorder="1" applyAlignment="1"/>
    <xf numFmtId="170" fontId="26" fillId="0" borderId="20" xfId="2" quotePrefix="1" applyNumberFormat="1" applyFont="1" applyBorder="1" applyAlignment="1"/>
    <xf numFmtId="166" fontId="51" fillId="0" borderId="0" xfId="2" applyNumberFormat="1" applyFont="1" applyBorder="1" applyAlignment="1"/>
    <xf numFmtId="166" fontId="51" fillId="0" borderId="0" xfId="2" applyNumberFormat="1" applyFont="1" applyAlignment="1"/>
    <xf numFmtId="170" fontId="31" fillId="0" borderId="20" xfId="2" applyNumberFormat="1" applyFont="1" applyBorder="1" applyAlignment="1"/>
    <xf numFmtId="170" fontId="31" fillId="0" borderId="13" xfId="2" applyNumberFormat="1" applyFont="1" applyBorder="1" applyAlignment="1"/>
    <xf numFmtId="165" fontId="63" fillId="0" borderId="0" xfId="2" applyNumberFormat="1" applyFont="1" applyAlignment="1"/>
    <xf numFmtId="174" fontId="31" fillId="0" borderId="13" xfId="2" applyNumberFormat="1" applyFont="1" applyBorder="1" applyAlignment="1"/>
    <xf numFmtId="174" fontId="31" fillId="0" borderId="0" xfId="2" applyNumberFormat="1" applyFont="1" applyBorder="1" applyAlignment="1"/>
    <xf numFmtId="165" fontId="26" fillId="0" borderId="0" xfId="2" quotePrefix="1" applyNumberFormat="1" applyFont="1" applyAlignment="1">
      <alignment horizontal="left"/>
    </xf>
    <xf numFmtId="166" fontId="64" fillId="0" borderId="0" xfId="2" applyNumberFormat="1" applyFont="1" applyAlignment="1"/>
    <xf numFmtId="166" fontId="65" fillId="0" borderId="0" xfId="2" applyNumberFormat="1" applyFont="1" applyAlignment="1"/>
    <xf numFmtId="166" fontId="66" fillId="0" borderId="0" xfId="2" applyNumberFormat="1" applyFont="1" applyAlignment="1"/>
    <xf numFmtId="166" fontId="65" fillId="0" borderId="0" xfId="2" quotePrefix="1" applyNumberFormat="1" applyFont="1" applyAlignment="1">
      <alignment horizontal="left"/>
    </xf>
    <xf numFmtId="166" fontId="47" fillId="0" borderId="0" xfId="2" applyNumberFormat="1" applyFont="1" applyAlignment="1"/>
    <xf numFmtId="166" fontId="64" fillId="0" borderId="20" xfId="2" applyNumberFormat="1" applyFont="1" applyBorder="1" applyAlignment="1"/>
    <xf numFmtId="166" fontId="67" fillId="0" borderId="0" xfId="2" quotePrefix="1" applyNumberFormat="1" applyFont="1" applyAlignment="1">
      <alignment horizontal="left"/>
    </xf>
    <xf numFmtId="174" fontId="67" fillId="0" borderId="0" xfId="2" applyNumberFormat="1" applyFont="1" applyAlignment="1"/>
    <xf numFmtId="174" fontId="67" fillId="0" borderId="21" xfId="2" applyNumberFormat="1" applyFont="1" applyBorder="1" applyAlignment="1"/>
    <xf numFmtId="166" fontId="67" fillId="0" borderId="0" xfId="2" applyNumberFormat="1" applyFont="1" applyAlignment="1"/>
    <xf numFmtId="166" fontId="64" fillId="0" borderId="0" xfId="2" applyNumberFormat="1" applyFont="1" applyAlignment="1">
      <alignment horizontal="right"/>
    </xf>
    <xf numFmtId="166" fontId="64" fillId="0" borderId="21" xfId="2" applyNumberFormat="1" applyFont="1" applyBorder="1" applyAlignment="1"/>
    <xf numFmtId="170" fontId="64" fillId="0" borderId="0" xfId="2" applyNumberFormat="1" applyFont="1" applyAlignment="1"/>
    <xf numFmtId="170" fontId="64" fillId="0" borderId="21"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49" fillId="0" borderId="0" xfId="2" applyNumberFormat="1" applyFont="1" applyAlignment="1"/>
    <xf numFmtId="170" fontId="49" fillId="0" borderId="0" xfId="2" applyNumberFormat="1" applyFont="1" applyAlignment="1">
      <alignment horizontal="right"/>
    </xf>
    <xf numFmtId="170" fontId="49" fillId="0" borderId="0" xfId="2" quotePrefix="1" applyNumberFormat="1" applyFont="1" applyAlignment="1">
      <alignment horizontal="center"/>
    </xf>
    <xf numFmtId="166" fontId="66" fillId="0" borderId="0" xfId="2" applyNumberFormat="1" applyFont="1" applyBorder="1" applyAlignment="1"/>
    <xf numFmtId="170" fontId="64" fillId="0" borderId="24" xfId="2" applyNumberFormat="1" applyFont="1" applyBorder="1" applyAlignment="1"/>
    <xf numFmtId="170" fontId="64" fillId="0" borderId="0" xfId="2" applyNumberFormat="1" applyFont="1" applyBorder="1" applyAlignment="1">
      <alignment horizontal="right"/>
    </xf>
    <xf numFmtId="170" fontId="49" fillId="0" borderId="10" xfId="2" applyNumberFormat="1" applyFont="1" applyBorder="1" applyAlignment="1"/>
    <xf numFmtId="170" fontId="49" fillId="0" borderId="0" xfId="2" applyNumberFormat="1" applyFont="1" applyBorder="1" applyAlignment="1"/>
    <xf numFmtId="170" fontId="49" fillId="0" borderId="0" xfId="2" applyNumberFormat="1" applyFont="1" applyAlignment="1">
      <alignment horizontal="center"/>
    </xf>
    <xf numFmtId="170" fontId="64" fillId="0" borderId="0" xfId="2" applyNumberFormat="1" applyFont="1" applyAlignment="1">
      <alignment horizontal="center"/>
    </xf>
    <xf numFmtId="170" fontId="64" fillId="0" borderId="0" xfId="2" applyNumberFormat="1" applyFont="1" applyAlignment="1">
      <alignment horizontal="right"/>
    </xf>
    <xf numFmtId="170" fontId="67" fillId="0" borderId="0" xfId="2" applyNumberFormat="1" applyFont="1" applyAlignment="1">
      <alignment horizontal="right"/>
    </xf>
    <xf numFmtId="166" fontId="49" fillId="0" borderId="0" xfId="2" quotePrefix="1" applyNumberFormat="1" applyFont="1" applyAlignment="1">
      <alignment horizontal="left"/>
    </xf>
    <xf numFmtId="165" fontId="49" fillId="0" borderId="0" xfId="2" applyNumberFormat="1" applyFont="1" applyAlignment="1"/>
    <xf numFmtId="165" fontId="29" fillId="0" borderId="0" xfId="2" applyNumberFormat="1" applyFont="1"/>
    <xf numFmtId="165" fontId="29" fillId="0" borderId="0" xfId="2" applyNumberFormat="1" applyFont="1" applyAlignment="1"/>
    <xf numFmtId="165" fontId="53" fillId="0" borderId="0" xfId="2" applyNumberFormat="1" applyFont="1"/>
    <xf numFmtId="164" fontId="53" fillId="0" borderId="0" xfId="2" applyNumberFormat="1" applyFont="1" applyAlignment="1"/>
    <xf numFmtId="165" fontId="54" fillId="0" borderId="0" xfId="2" applyNumberFormat="1" applyFont="1" applyAlignment="1"/>
    <xf numFmtId="0" fontId="54" fillId="0" borderId="0" xfId="2" applyNumberFormat="1" applyFont="1" applyAlignment="1"/>
    <xf numFmtId="165" fontId="54" fillId="0" borderId="0" xfId="2" applyNumberFormat="1" applyFont="1" applyAlignment="1">
      <alignment horizontal="right"/>
    </xf>
    <xf numFmtId="165" fontId="54" fillId="0" borderId="0" xfId="2" applyNumberFormat="1" applyFont="1" applyBorder="1" applyAlignment="1">
      <alignment horizontal="right"/>
    </xf>
    <xf numFmtId="164" fontId="54" fillId="0" borderId="0" xfId="2" applyNumberFormat="1" applyFont="1" applyAlignment="1">
      <alignment horizontal="right"/>
    </xf>
    <xf numFmtId="165" fontId="30" fillId="0" borderId="0" xfId="2" applyNumberFormat="1" applyFont="1" applyFill="1" applyAlignment="1">
      <alignment horizontal="right"/>
    </xf>
    <xf numFmtId="0" fontId="54" fillId="0" borderId="0" xfId="2" quotePrefix="1" applyNumberFormat="1" applyFont="1" applyAlignment="1">
      <alignment horizontal="left"/>
    </xf>
    <xf numFmtId="3" fontId="26" fillId="0" borderId="20" xfId="2" applyNumberFormat="1" applyFont="1" applyBorder="1" applyAlignment="1"/>
    <xf numFmtId="165" fontId="53" fillId="0" borderId="15" xfId="2" applyNumberFormat="1" applyFont="1" applyBorder="1"/>
    <xf numFmtId="169" fontId="31" fillId="0" borderId="0" xfId="2" applyNumberFormat="1" applyFont="1" applyAlignment="1"/>
    <xf numFmtId="169" fontId="31" fillId="0" borderId="21" xfId="2" applyNumberFormat="1" applyFont="1" applyBorder="1" applyAlignment="1"/>
    <xf numFmtId="169" fontId="63" fillId="0" borderId="15" xfId="2" applyNumberFormat="1" applyFont="1" applyBorder="1"/>
    <xf numFmtId="174" fontId="52" fillId="0" borderId="0" xfId="2" applyNumberFormat="1" applyFont="1" applyAlignment="1"/>
    <xf numFmtId="166" fontId="26" fillId="0" borderId="21" xfId="2" applyNumberFormat="1" applyFont="1" applyBorder="1" applyAlignment="1"/>
    <xf numFmtId="166" fontId="33" fillId="0" borderId="13" xfId="2" applyNumberFormat="1" applyFont="1" applyBorder="1" applyAlignment="1">
      <alignment horizontal="center"/>
    </xf>
    <xf numFmtId="166" fontId="26" fillId="0" borderId="0" xfId="2" quotePrefix="1" applyNumberFormat="1" applyFont="1" applyFill="1" applyAlignment="1">
      <alignment horizontal="right"/>
    </xf>
    <xf numFmtId="165" fontId="26" fillId="0" borderId="13" xfId="2" applyNumberFormat="1" applyFont="1" applyBorder="1" applyAlignment="1"/>
    <xf numFmtId="166" fontId="31" fillId="0" borderId="13" xfId="2" applyNumberFormat="1" applyFont="1" applyBorder="1" applyAlignment="1"/>
    <xf numFmtId="0" fontId="31" fillId="0" borderId="0" xfId="2" applyNumberFormat="1" applyFont="1" applyBorder="1" applyAlignment="1"/>
    <xf numFmtId="166" fontId="31" fillId="0" borderId="0" xfId="2" applyNumberFormat="1" applyFont="1" applyFill="1" applyAlignment="1"/>
    <xf numFmtId="166" fontId="31" fillId="0" borderId="21" xfId="2" applyNumberFormat="1" applyFont="1" applyBorder="1" applyAlignment="1"/>
    <xf numFmtId="3" fontId="26" fillId="0" borderId="0" xfId="2" applyNumberFormat="1" applyFont="1" applyAlignment="1">
      <alignment vertical="center"/>
    </xf>
    <xf numFmtId="3" fontId="26" fillId="0" borderId="0" xfId="2" applyNumberFormat="1" applyFont="1" applyAlignment="1">
      <alignment horizontal="left" vertical="center"/>
    </xf>
    <xf numFmtId="166" fontId="26" fillId="0" borderId="0" xfId="2" applyNumberFormat="1" applyFont="1" applyAlignment="1">
      <alignment horizontal="center"/>
    </xf>
    <xf numFmtId="170" fontId="31" fillId="0" borderId="45" xfId="2" applyNumberFormat="1" applyFont="1" applyBorder="1" applyAlignment="1"/>
    <xf numFmtId="0" fontId="31" fillId="0" borderId="21" xfId="2" applyNumberFormat="1" applyFont="1" applyBorder="1" applyAlignment="1"/>
    <xf numFmtId="166" fontId="26" fillId="0" borderId="13" xfId="2" applyNumberFormat="1" applyFont="1" applyBorder="1" applyAlignment="1"/>
    <xf numFmtId="0" fontId="26" fillId="0" borderId="0" xfId="2" quotePrefix="1" applyNumberFormat="1" applyFont="1" applyFill="1" applyBorder="1" applyAlignment="1">
      <alignment horizontal="left"/>
    </xf>
    <xf numFmtId="0" fontId="26" fillId="0" borderId="21" xfId="2" applyNumberFormat="1" applyFont="1" applyFill="1" applyBorder="1" applyAlignment="1"/>
    <xf numFmtId="170" fontId="26" fillId="0" borderId="10" xfId="2" applyNumberFormat="1" applyFont="1" applyBorder="1" applyAlignment="1"/>
    <xf numFmtId="0" fontId="31" fillId="0" borderId="0" xfId="2" applyNumberFormat="1" applyFont="1" applyFill="1" applyAlignment="1">
      <alignment horizontal="left"/>
    </xf>
    <xf numFmtId="174" fontId="31" fillId="0" borderId="17" xfId="2" applyNumberFormat="1" applyFont="1" applyFill="1" applyBorder="1" applyAlignment="1"/>
    <xf numFmtId="169" fontId="31" fillId="0" borderId="0" xfId="2" applyNumberFormat="1" applyFont="1" applyFill="1" applyBorder="1" applyAlignment="1"/>
    <xf numFmtId="169" fontId="31" fillId="0" borderId="0" xfId="2" applyNumberFormat="1" applyFont="1" applyFill="1" applyAlignment="1"/>
    <xf numFmtId="169" fontId="31" fillId="0" borderId="21" xfId="2" applyNumberFormat="1" applyFont="1" applyFill="1" applyBorder="1" applyAlignment="1"/>
    <xf numFmtId="3" fontId="26" fillId="0" borderId="0" xfId="2" applyNumberFormat="1" applyFont="1" applyBorder="1" applyAlignment="1"/>
    <xf numFmtId="165" fontId="34" fillId="0" borderId="0" xfId="2" applyNumberFormat="1" applyFont="1" applyBorder="1" applyAlignment="1"/>
    <xf numFmtId="165" fontId="27" fillId="0" borderId="0" xfId="2" applyNumberFormat="1" applyFont="1" applyBorder="1" applyAlignment="1"/>
    <xf numFmtId="165" fontId="26" fillId="0" borderId="0" xfId="2" applyNumberFormat="1" applyFont="1"/>
    <xf numFmtId="164" fontId="26" fillId="0" borderId="0" xfId="2" applyNumberFormat="1" applyFont="1" applyAlignment="1"/>
    <xf numFmtId="166" fontId="33" fillId="0" borderId="0" xfId="2" quotePrefix="1" applyNumberFormat="1" applyFont="1" applyBorder="1" applyAlignment="1">
      <alignment horizontal="left"/>
    </xf>
    <xf numFmtId="0" fontId="29" fillId="0" borderId="0" xfId="2" applyNumberFormat="1" applyFont="1" applyAlignment="1"/>
    <xf numFmtId="0" fontId="63" fillId="0" borderId="0" xfId="2" applyNumberFormat="1" applyFont="1" applyAlignment="1"/>
    <xf numFmtId="174" fontId="31" fillId="0" borderId="17" xfId="2" applyNumberFormat="1" applyFont="1" applyBorder="1" applyAlignment="1"/>
    <xf numFmtId="0" fontId="26" fillId="0" borderId="0" xfId="2" applyFont="1" applyBorder="1" applyAlignment="1"/>
    <xf numFmtId="0" fontId="25" fillId="0" borderId="0" xfId="2" quotePrefix="1" applyNumberFormat="1" applyFont="1" applyAlignment="1">
      <alignment horizontal="left"/>
    </xf>
    <xf numFmtId="168" fontId="26" fillId="0" borderId="0" xfId="2" applyNumberFormat="1" applyFont="1" applyAlignment="1"/>
    <xf numFmtId="0" fontId="25" fillId="0" borderId="0" xfId="2" applyNumberFormat="1" applyFont="1" applyAlignment="1">
      <alignment horizontal="right"/>
    </xf>
    <xf numFmtId="165" fontId="25" fillId="0" borderId="0" xfId="2" applyNumberFormat="1" applyFont="1" applyAlignment="1">
      <alignment horizontal="right"/>
    </xf>
    <xf numFmtId="165" fontId="26" fillId="0" borderId="20" xfId="2" applyNumberFormat="1" applyFont="1" applyBorder="1"/>
    <xf numFmtId="165" fontId="26" fillId="0" borderId="15" xfId="2" applyNumberFormat="1" applyFont="1" applyBorder="1" applyAlignment="1"/>
    <xf numFmtId="174" fontId="31" fillId="0" borderId="47" xfId="2" applyNumberFormat="1" applyFont="1" applyBorder="1" applyAlignment="1"/>
    <xf numFmtId="168" fontId="31" fillId="0" borderId="0" xfId="2" applyNumberFormat="1" applyFont="1" applyAlignment="1"/>
    <xf numFmtId="164" fontId="31" fillId="0" borderId="0" xfId="2" applyNumberFormat="1" applyFont="1" applyAlignment="1"/>
    <xf numFmtId="165" fontId="26" fillId="0" borderId="47" xfId="2" applyNumberFormat="1" applyFont="1" applyBorder="1" applyAlignment="1"/>
    <xf numFmtId="170" fontId="26" fillId="0" borderId="47" xfId="2" applyNumberFormat="1" applyFont="1" applyBorder="1" applyAlignment="1"/>
    <xf numFmtId="170" fontId="26" fillId="0" borderId="0" xfId="2" quotePrefix="1" applyNumberFormat="1" applyFont="1" applyAlignment="1">
      <alignment horizontal="right"/>
    </xf>
    <xf numFmtId="170" fontId="26" fillId="0" borderId="0" xfId="2" quotePrefix="1" applyNumberFormat="1" applyFont="1" applyAlignment="1"/>
    <xf numFmtId="170" fontId="51" fillId="0" borderId="0" xfId="2" applyNumberFormat="1" applyFont="1" applyFill="1" applyAlignment="1"/>
    <xf numFmtId="170" fontId="26" fillId="0" borderId="47" xfId="2" applyNumberFormat="1" applyFont="1" applyBorder="1" applyAlignment="1">
      <alignment horizontal="center"/>
    </xf>
    <xf numFmtId="165" fontId="26" fillId="0" borderId="0" xfId="2" applyNumberFormat="1" applyFont="1" applyAlignment="1">
      <alignment horizontal="left"/>
    </xf>
    <xf numFmtId="170" fontId="26" fillId="0" borderId="10" xfId="2" applyNumberFormat="1" applyFont="1" applyBorder="1" applyAlignment="1">
      <alignment horizontal="right"/>
    </xf>
    <xf numFmtId="170" fontId="31" fillId="0" borderId="47" xfId="2" applyNumberFormat="1" applyFont="1" applyBorder="1" applyAlignment="1"/>
    <xf numFmtId="170" fontId="31" fillId="0" borderId="10" xfId="2" applyNumberFormat="1" applyFont="1" applyBorder="1" applyAlignment="1">
      <alignment horizontal="right"/>
    </xf>
    <xf numFmtId="166" fontId="31" fillId="0" borderId="0" xfId="2" applyNumberFormat="1" applyFont="1" applyBorder="1" applyAlignment="1">
      <alignment horizontal="right"/>
    </xf>
    <xf numFmtId="164" fontId="31" fillId="0" borderId="10" xfId="2" applyNumberFormat="1" applyFont="1" applyBorder="1" applyAlignment="1"/>
    <xf numFmtId="170" fontId="26" fillId="0" borderId="10" xfId="2" applyNumberFormat="1" applyFont="1" applyFill="1" applyBorder="1" applyAlignment="1"/>
    <xf numFmtId="170" fontId="31" fillId="0" borderId="16" xfId="2" applyNumberFormat="1" applyFont="1" applyFill="1" applyBorder="1" applyAlignment="1"/>
    <xf numFmtId="164" fontId="31"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31" fillId="0" borderId="17" xfId="2" applyNumberFormat="1" applyFont="1" applyBorder="1" applyAlignment="1"/>
    <xf numFmtId="168" fontId="26" fillId="0" borderId="36" xfId="2" applyNumberFormat="1" applyFont="1" applyBorder="1" applyAlignment="1"/>
    <xf numFmtId="168" fontId="26" fillId="0" borderId="0" xfId="2" applyNumberFormat="1" applyFont="1" applyBorder="1" applyAlignment="1"/>
    <xf numFmtId="0" fontId="0" fillId="0" borderId="0" xfId="2" applyFont="1" applyBorder="1" applyAlignment="1"/>
    <xf numFmtId="168" fontId="27" fillId="0" borderId="0" xfId="2" applyNumberFormat="1" applyFont="1" applyAlignment="1"/>
    <xf numFmtId="0" fontId="29" fillId="0" borderId="10" xfId="2" applyNumberFormat="1" applyFont="1" applyBorder="1" applyAlignment="1"/>
    <xf numFmtId="165" fontId="29" fillId="0" borderId="10" xfId="2" applyNumberFormat="1" applyFont="1" applyBorder="1" applyAlignment="1"/>
    <xf numFmtId="0" fontId="25" fillId="0" borderId="0" xfId="2" applyNumberFormat="1" applyFont="1" applyAlignment="1">
      <alignment horizontal="left"/>
    </xf>
    <xf numFmtId="165" fontId="26" fillId="0" borderId="18" xfId="2" applyNumberFormat="1" applyFont="1" applyBorder="1" applyAlignment="1"/>
    <xf numFmtId="165" fontId="26" fillId="0" borderId="0" xfId="2" applyNumberFormat="1" applyFont="1" applyAlignment="1">
      <alignment horizontal="right"/>
    </xf>
    <xf numFmtId="166" fontId="26" fillId="0" borderId="18" xfId="2" applyNumberFormat="1" applyFont="1" applyBorder="1" applyAlignment="1"/>
    <xf numFmtId="166" fontId="26" fillId="0" borderId="47" xfId="2" applyNumberFormat="1" applyFont="1" applyBorder="1" applyAlignment="1"/>
    <xf numFmtId="166" fontId="26" fillId="0" borderId="47" xfId="2" applyNumberFormat="1" applyFont="1" applyBorder="1" applyAlignment="1">
      <alignment horizontal="center"/>
    </xf>
    <xf numFmtId="170" fontId="31" fillId="0" borderId="0" xfId="2" quotePrefix="1" applyNumberFormat="1" applyFont="1" applyAlignment="1">
      <alignment horizontal="center"/>
    </xf>
    <xf numFmtId="170" fontId="31" fillId="0" borderId="40" xfId="2" applyNumberFormat="1" applyFont="1" applyBorder="1" applyAlignment="1"/>
    <xf numFmtId="174" fontId="31" fillId="0" borderId="18" xfId="2" applyNumberFormat="1" applyFont="1" applyBorder="1" applyAlignment="1"/>
    <xf numFmtId="168" fontId="26" fillId="0" borderId="0" xfId="2" applyNumberFormat="1" applyFont="1" applyFill="1" applyBorder="1" applyAlignment="1"/>
    <xf numFmtId="168" fontId="29" fillId="0" borderId="0" xfId="2" applyNumberFormat="1" applyFont="1" applyAlignment="1"/>
    <xf numFmtId="0" fontId="72" fillId="0" borderId="0" xfId="2" applyNumberFormat="1" applyFont="1" applyAlignment="1"/>
    <xf numFmtId="0" fontId="27" fillId="0" borderId="10" xfId="2" applyNumberFormat="1" applyFont="1" applyBorder="1" applyAlignment="1"/>
    <xf numFmtId="0" fontId="45" fillId="0" borderId="0" xfId="2" applyNumberFormat="1" applyFont="1" applyAlignment="1">
      <alignment horizontal="left"/>
    </xf>
    <xf numFmtId="166" fontId="51" fillId="0" borderId="0" xfId="2" applyNumberFormat="1" applyFont="1" applyFill="1" applyAlignment="1"/>
    <xf numFmtId="164" fontId="26" fillId="0" borderId="0" xfId="2" applyNumberFormat="1" applyFont="1" applyAlignment="1">
      <alignment horizontal="right"/>
    </xf>
    <xf numFmtId="165" fontId="31" fillId="0" borderId="0" xfId="2" applyNumberFormat="1" applyFont="1" applyBorder="1" applyAlignment="1">
      <alignment horizontal="right"/>
    </xf>
    <xf numFmtId="164" fontId="31" fillId="0" borderId="10" xfId="2" applyNumberFormat="1" applyFont="1" applyBorder="1"/>
    <xf numFmtId="175" fontId="29" fillId="0" borderId="0" xfId="4" applyNumberFormat="1" applyFont="1" applyFill="1"/>
    <xf numFmtId="166" fontId="29" fillId="0" borderId="0" xfId="4" applyNumberFormat="1" applyFont="1" applyFill="1"/>
    <xf numFmtId="0" fontId="29" fillId="0" borderId="0" xfId="4" applyFont="1" applyFill="1"/>
    <xf numFmtId="175" fontId="54" fillId="0" borderId="0" xfId="4" quotePrefix="1" applyNumberFormat="1" applyFont="1" applyFill="1" applyAlignment="1">
      <alignment horizontal="left"/>
    </xf>
    <xf numFmtId="0" fontId="73" fillId="0" borderId="0" xfId="4" applyFill="1" applyAlignment="1"/>
    <xf numFmtId="175" fontId="54" fillId="0" borderId="0" xfId="4" applyNumberFormat="1" applyFont="1" applyFill="1"/>
    <xf numFmtId="175" fontId="26" fillId="0" borderId="0" xfId="4" applyNumberFormat="1" applyFont="1" applyFill="1"/>
    <xf numFmtId="166" fontId="26" fillId="0" borderId="0" xfId="4" applyNumberFormat="1" applyFont="1" applyFill="1"/>
    <xf numFmtId="175" fontId="31" fillId="0" borderId="0" xfId="4" applyNumberFormat="1" applyFont="1" applyFill="1" applyAlignment="1">
      <alignment horizontal="center"/>
    </xf>
    <xf numFmtId="175" fontId="26" fillId="0" borderId="0" xfId="4" applyNumberFormat="1" applyFont="1" applyFill="1" applyBorder="1"/>
    <xf numFmtId="175" fontId="26" fillId="0" borderId="0" xfId="4" applyNumberFormat="1" applyFont="1" applyFill="1" applyAlignment="1">
      <alignment horizontal="center"/>
    </xf>
    <xf numFmtId="0" fontId="26" fillId="0" borderId="0" xfId="4" applyNumberFormat="1" applyFont="1" applyFill="1" applyBorder="1" applyAlignment="1">
      <alignment horizontal="center"/>
    </xf>
    <xf numFmtId="175" fontId="26" fillId="0" borderId="0" xfId="4" applyNumberFormat="1" applyFont="1" applyFill="1" applyBorder="1" applyAlignment="1">
      <alignment horizontal="center"/>
    </xf>
    <xf numFmtId="166" fontId="26" fillId="0" borderId="0" xfId="4" applyNumberFormat="1" applyFont="1" applyFill="1" applyBorder="1" applyAlignment="1">
      <alignment horizontal="center"/>
    </xf>
    <xf numFmtId="175" fontId="26" fillId="0" borderId="0" xfId="4" quotePrefix="1" applyNumberFormat="1" applyFont="1" applyFill="1" applyBorder="1" applyAlignment="1">
      <alignment horizontal="center"/>
    </xf>
    <xf numFmtId="169" fontId="26" fillId="0" borderId="0" xfId="4" applyNumberFormat="1" applyFont="1" applyFill="1" applyBorder="1" applyAlignment="1">
      <alignment horizontal="center"/>
    </xf>
    <xf numFmtId="0" fontId="26" fillId="0" borderId="15" xfId="4" applyNumberFormat="1" applyFont="1" applyFill="1" applyBorder="1" applyAlignment="1">
      <alignment horizontal="center"/>
    </xf>
    <xf numFmtId="0" fontId="26" fillId="0" borderId="0" xfId="4" applyFont="1" applyFill="1" applyBorder="1"/>
    <xf numFmtId="0" fontId="26" fillId="0" borderId="0" xfId="4" applyFont="1" applyFill="1"/>
    <xf numFmtId="175" fontId="31" fillId="0" borderId="0" xfId="4" applyNumberFormat="1" applyFont="1" applyFill="1" applyAlignment="1">
      <alignment horizontal="left"/>
    </xf>
    <xf numFmtId="174" fontId="31" fillId="0" borderId="0" xfId="4" applyNumberFormat="1" applyFont="1" applyFill="1"/>
    <xf numFmtId="174" fontId="31" fillId="0" borderId="0" xfId="4" quotePrefix="1" applyNumberFormat="1" applyFont="1" applyFill="1" applyAlignment="1">
      <alignment horizontal="right"/>
    </xf>
    <xf numFmtId="174" fontId="31" fillId="0" borderId="0" xfId="4" quotePrefix="1" applyNumberFormat="1" applyFont="1" applyFill="1" applyAlignment="1"/>
    <xf numFmtId="174" fontId="31" fillId="0" borderId="13" xfId="4" applyNumberFormat="1" applyFont="1" applyFill="1" applyBorder="1"/>
    <xf numFmtId="174" fontId="31" fillId="0" borderId="0" xfId="4" applyNumberFormat="1" applyFont="1" applyFill="1" applyBorder="1" applyAlignment="1">
      <alignment horizontal="center"/>
    </xf>
    <xf numFmtId="174" fontId="31" fillId="0" borderId="15" xfId="4" applyNumberFormat="1" applyFont="1" applyFill="1" applyBorder="1"/>
    <xf numFmtId="174" fontId="31" fillId="0" borderId="0" xfId="4" applyNumberFormat="1" applyFont="1" applyFill="1" applyBorder="1"/>
    <xf numFmtId="0" fontId="31" fillId="0" borderId="0" xfId="4" applyFont="1" applyFill="1" applyBorder="1"/>
    <xf numFmtId="164" fontId="31" fillId="0" borderId="0" xfId="4" applyNumberFormat="1" applyFont="1" applyFill="1"/>
    <xf numFmtId="175" fontId="26" fillId="0" borderId="13" xfId="4" applyNumberFormat="1" applyFont="1" applyFill="1" applyBorder="1"/>
    <xf numFmtId="166" fontId="26" fillId="0" borderId="13" xfId="4" applyNumberFormat="1" applyFont="1" applyFill="1" applyBorder="1"/>
    <xf numFmtId="166" fontId="26" fillId="0" borderId="15" xfId="4" applyNumberFormat="1" applyFont="1" applyFill="1" applyBorder="1"/>
    <xf numFmtId="166" fontId="26" fillId="0" borderId="0" xfId="4" applyNumberFormat="1" applyFont="1" applyFill="1" applyBorder="1"/>
    <xf numFmtId="175" fontId="31" fillId="0" borderId="0" xfId="4" applyNumberFormat="1" applyFont="1" applyFill="1"/>
    <xf numFmtId="0" fontId="29" fillId="0" borderId="0" xfId="4" quotePrefix="1" applyFont="1" applyFill="1" applyAlignment="1">
      <alignment horizontal="left"/>
    </xf>
    <xf numFmtId="170" fontId="26" fillId="0" borderId="0" xfId="4" quotePrefix="1" applyNumberFormat="1" applyFont="1" applyFill="1" applyAlignment="1">
      <alignment horizontal="right"/>
    </xf>
    <xf numFmtId="170" fontId="26" fillId="0" borderId="0" xfId="4" applyNumberFormat="1" applyFont="1" applyFill="1"/>
    <xf numFmtId="170" fontId="26" fillId="0" borderId="0" xfId="5" applyNumberFormat="1" applyFont="1" applyFill="1" applyBorder="1"/>
    <xf numFmtId="170" fontId="26" fillId="0" borderId="0" xfId="4" applyNumberFormat="1" applyFont="1" applyFill="1" applyAlignment="1">
      <alignment horizontal="right"/>
    </xf>
    <xf numFmtId="170" fontId="26" fillId="0" borderId="13" xfId="4" applyNumberFormat="1" applyFont="1" applyFill="1" applyBorder="1"/>
    <xf numFmtId="170" fontId="26" fillId="0" borderId="0" xfId="4" applyNumberFormat="1" applyFont="1" applyFill="1" applyBorder="1" applyAlignment="1">
      <alignment horizontal="center"/>
    </xf>
    <xf numFmtId="170" fontId="26" fillId="0" borderId="15" xfId="4" applyNumberFormat="1" applyFont="1" applyFill="1" applyBorder="1"/>
    <xf numFmtId="170" fontId="26" fillId="0" borderId="0" xfId="4" applyNumberFormat="1" applyFont="1" applyFill="1" applyBorder="1"/>
    <xf numFmtId="164" fontId="26" fillId="0" borderId="0" xfId="4" applyNumberFormat="1" applyFont="1" applyFill="1"/>
    <xf numFmtId="170" fontId="26" fillId="0" borderId="0" xfId="4" applyNumberFormat="1" applyFont="1" applyFill="1" applyBorder="1" applyAlignment="1">
      <alignment horizontal="right"/>
    </xf>
    <xf numFmtId="170" fontId="26" fillId="0" borderId="0" xfId="5" applyNumberFormat="1" applyFont="1" applyFill="1"/>
    <xf numFmtId="170" fontId="26" fillId="0" borderId="10" xfId="4" quotePrefix="1" applyNumberFormat="1" applyFont="1" applyBorder="1" applyAlignment="1">
      <alignment horizontal="center"/>
    </xf>
    <xf numFmtId="170" fontId="26" fillId="0" borderId="10" xfId="4" quotePrefix="1" applyNumberFormat="1" applyFont="1" applyBorder="1" applyAlignment="1">
      <alignment horizontal="right"/>
    </xf>
    <xf numFmtId="170" fontId="26" fillId="0" borderId="10" xfId="4" quotePrefix="1" applyNumberFormat="1" applyFont="1" applyFill="1" applyBorder="1" applyAlignment="1">
      <alignment horizontal="right"/>
    </xf>
    <xf numFmtId="170" fontId="26" fillId="0" borderId="10" xfId="4" quotePrefix="1" applyNumberFormat="1" applyFont="1" applyBorder="1" applyAlignment="1"/>
    <xf numFmtId="170" fontId="26" fillId="0" borderId="10" xfId="4" quotePrefix="1" applyNumberFormat="1" applyFont="1" applyFill="1" applyBorder="1" applyAlignment="1"/>
    <xf numFmtId="170" fontId="26" fillId="0" borderId="19" xfId="4" applyNumberFormat="1" applyFont="1" applyFill="1" applyBorder="1"/>
    <xf numFmtId="170" fontId="26" fillId="0" borderId="19" xfId="4" applyNumberFormat="1" applyFont="1" applyFill="1" applyBorder="1" applyAlignment="1">
      <alignment horizontal="right"/>
    </xf>
    <xf numFmtId="170" fontId="31" fillId="0" borderId="10" xfId="4" applyNumberFormat="1" applyFont="1" applyFill="1" applyBorder="1"/>
    <xf numFmtId="170" fontId="31" fillId="0" borderId="0" xfId="4" applyNumberFormat="1" applyFont="1" applyFill="1"/>
    <xf numFmtId="170" fontId="31" fillId="0" borderId="0" xfId="4" applyNumberFormat="1" applyFont="1" applyFill="1" applyAlignment="1">
      <alignment horizontal="right"/>
    </xf>
    <xf numFmtId="170" fontId="31" fillId="0" borderId="13" xfId="4" applyNumberFormat="1" applyFont="1" applyFill="1" applyBorder="1"/>
    <xf numFmtId="170" fontId="31" fillId="0" borderId="0" xfId="4" applyNumberFormat="1" applyFont="1" applyFill="1" applyBorder="1" applyAlignment="1">
      <alignment horizontal="center"/>
    </xf>
    <xf numFmtId="170" fontId="31" fillId="0" borderId="15" xfId="4" applyNumberFormat="1" applyFont="1" applyFill="1" applyBorder="1"/>
    <xf numFmtId="0" fontId="30" fillId="0" borderId="0" xfId="4" applyFont="1" applyFill="1"/>
    <xf numFmtId="175" fontId="31" fillId="0" borderId="0" xfId="4" quotePrefix="1" applyNumberFormat="1" applyFont="1" applyFill="1" applyAlignment="1">
      <alignment horizontal="left"/>
    </xf>
    <xf numFmtId="175" fontId="26" fillId="0" borderId="0" xfId="4" quotePrefix="1" applyNumberFormat="1" applyFont="1" applyFill="1" applyAlignment="1">
      <alignment horizontal="left"/>
    </xf>
    <xf numFmtId="170" fontId="26" fillId="0" borderId="0" xfId="4" quotePrefix="1" applyNumberFormat="1" applyFont="1" applyBorder="1" applyAlignment="1">
      <alignment horizontal="center"/>
    </xf>
    <xf numFmtId="170" fontId="26" fillId="0" borderId="10" xfId="4" applyNumberFormat="1" applyFont="1" applyFill="1" applyBorder="1"/>
    <xf numFmtId="170" fontId="26" fillId="0" borderId="10" xfId="5" applyNumberFormat="1" applyFont="1" applyFill="1" applyBorder="1"/>
    <xf numFmtId="170" fontId="31" fillId="0" borderId="0" xfId="4" applyNumberFormat="1" applyFont="1" applyFill="1" applyBorder="1" applyAlignment="1">
      <alignment horizontal="right"/>
    </xf>
    <xf numFmtId="170" fontId="47" fillId="0" borderId="0" xfId="5" applyNumberFormat="1" applyFont="1" applyFill="1"/>
    <xf numFmtId="170" fontId="26" fillId="0" borderId="10" xfId="5" quotePrefix="1" applyNumberFormat="1" applyFont="1" applyFill="1" applyBorder="1" applyAlignment="1"/>
    <xf numFmtId="170" fontId="26" fillId="0" borderId="0" xfId="4" applyNumberFormat="1" applyFont="1" applyAlignment="1"/>
    <xf numFmtId="170" fontId="26" fillId="0" borderId="0" xfId="4" applyNumberFormat="1" applyFont="1" applyFill="1" applyAlignment="1">
      <alignment horizontal="center"/>
    </xf>
    <xf numFmtId="170" fontId="31" fillId="0" borderId="10" xfId="5" applyNumberFormat="1" applyFont="1" applyFill="1" applyBorder="1"/>
    <xf numFmtId="166" fontId="26" fillId="0" borderId="0" xfId="4" applyNumberFormat="1" applyFont="1" applyFill="1" applyAlignment="1">
      <alignment horizontal="center"/>
    </xf>
    <xf numFmtId="166" fontId="26" fillId="0" borderId="19" xfId="4" applyNumberFormat="1" applyFont="1" applyFill="1" applyBorder="1"/>
    <xf numFmtId="166" fontId="26" fillId="0" borderId="19" xfId="4" applyNumberFormat="1" applyFont="1" applyFill="1" applyBorder="1" applyAlignment="1">
      <alignment horizontal="right"/>
    </xf>
    <xf numFmtId="166" fontId="26" fillId="0" borderId="0" xfId="4" applyNumberFormat="1" applyFont="1" applyFill="1" applyBorder="1" applyAlignment="1">
      <alignment horizontal="right"/>
    </xf>
    <xf numFmtId="174" fontId="31" fillId="0" borderId="17" xfId="4" applyNumberFormat="1" applyFont="1" applyFill="1" applyBorder="1"/>
    <xf numFmtId="174" fontId="31" fillId="0" borderId="17" xfId="4" applyNumberFormat="1" applyFont="1" applyFill="1" applyBorder="1" applyAlignment="1">
      <alignment horizontal="center"/>
    </xf>
    <xf numFmtId="175" fontId="30" fillId="0" borderId="0" xfId="4" applyNumberFormat="1" applyFont="1" applyFill="1"/>
    <xf numFmtId="169" fontId="29" fillId="0" borderId="0" xfId="4" applyNumberFormat="1" applyFont="1" applyFill="1" applyBorder="1"/>
    <xf numFmtId="169" fontId="29" fillId="0" borderId="0" xfId="4" applyNumberFormat="1" applyFont="1" applyFill="1"/>
    <xf numFmtId="169" fontId="29" fillId="0" borderId="0" xfId="4" quotePrefix="1" applyNumberFormat="1" applyFont="1" applyFill="1" applyBorder="1" applyAlignment="1">
      <alignment horizontal="right"/>
    </xf>
    <xf numFmtId="0" fontId="29" fillId="0" borderId="0" xfId="4" applyNumberFormat="1" applyFont="1" applyFill="1" applyBorder="1" applyAlignment="1">
      <alignment horizontal="center"/>
    </xf>
    <xf numFmtId="0" fontId="29" fillId="0" borderId="0" xfId="4" applyFont="1" applyFill="1" applyBorder="1"/>
    <xf numFmtId="164" fontId="29" fillId="0" borderId="0" xfId="4" applyNumberFormat="1" applyFont="1" applyFill="1" applyBorder="1"/>
    <xf numFmtId="39" fontId="29" fillId="0" borderId="0" xfId="4" applyNumberFormat="1" applyFont="1" applyFill="1"/>
    <xf numFmtId="43" fontId="29" fillId="0" borderId="0" xfId="5" applyFont="1" applyFill="1"/>
    <xf numFmtId="0" fontId="29" fillId="0" borderId="0" xfId="4" quotePrefix="1" applyNumberFormat="1" applyFont="1" applyFill="1" applyAlignment="1">
      <alignment horizontal="left"/>
    </xf>
    <xf numFmtId="43" fontId="29" fillId="0" borderId="0" xfId="4" applyNumberFormat="1" applyFont="1" applyFill="1"/>
    <xf numFmtId="49" fontId="74" fillId="0" borderId="0" xfId="4" applyNumberFormat="1" applyFont="1" applyFill="1" applyAlignment="1">
      <alignment horizontal="left"/>
    </xf>
    <xf numFmtId="0" fontId="74" fillId="0" borderId="0" xfId="4" applyNumberFormat="1" applyFont="1" applyFill="1" applyAlignment="1">
      <alignment horizontal="left"/>
    </xf>
    <xf numFmtId="165" fontId="75" fillId="0" borderId="0" xfId="2" applyNumberFormat="1" applyFont="1" applyAlignment="1">
      <alignment horizontal="left"/>
    </xf>
    <xf numFmtId="165" fontId="76" fillId="0" borderId="0" xfId="2" applyNumberFormat="1" applyFont="1" applyAlignment="1"/>
    <xf numFmtId="165" fontId="77" fillId="0" borderId="0" xfId="2" applyNumberFormat="1" applyFont="1" applyAlignment="1"/>
    <xf numFmtId="165" fontId="78" fillId="0" borderId="0" xfId="2" applyNumberFormat="1" applyFont="1" applyAlignment="1">
      <alignment horizontal="centerContinuous"/>
    </xf>
    <xf numFmtId="165" fontId="75" fillId="0" borderId="0" xfId="2" applyNumberFormat="1" applyFont="1" applyAlignment="1"/>
    <xf numFmtId="0" fontId="68" fillId="0" borderId="0" xfId="2" applyNumberFormat="1" applyFont="1" applyAlignment="1"/>
    <xf numFmtId="0" fontId="54" fillId="0" borderId="0" xfId="2" applyNumberFormat="1" applyFont="1" applyAlignment="1">
      <alignment horizontal="left"/>
    </xf>
    <xf numFmtId="165" fontId="75" fillId="0" borderId="0" xfId="2" applyNumberFormat="1" applyFont="1" applyAlignment="1">
      <alignment horizontal="centerContinuous"/>
    </xf>
    <xf numFmtId="0" fontId="79" fillId="0" borderId="0" xfId="2" applyNumberFormat="1" applyFont="1" applyAlignment="1">
      <alignment horizontal="left"/>
    </xf>
    <xf numFmtId="165" fontId="80" fillId="0" borderId="0" xfId="2" applyNumberFormat="1" applyFont="1" applyAlignment="1"/>
    <xf numFmtId="166" fontId="31" fillId="0" borderId="15" xfId="2" applyNumberFormat="1" applyFont="1" applyBorder="1" applyAlignment="1"/>
    <xf numFmtId="0" fontId="0" fillId="0" borderId="0" xfId="2" applyFont="1" applyBorder="1"/>
    <xf numFmtId="174" fontId="31" fillId="0" borderId="0" xfId="2" quotePrefix="1" applyNumberFormat="1" applyFont="1" applyAlignment="1"/>
    <xf numFmtId="174" fontId="31" fillId="0" borderId="15" xfId="2" applyNumberFormat="1" applyFont="1" applyBorder="1" applyAlignment="1"/>
    <xf numFmtId="174" fontId="31" fillId="0" borderId="0" xfId="2" applyNumberFormat="1" applyFont="1" applyBorder="1"/>
    <xf numFmtId="164" fontId="31" fillId="0" borderId="0" xfId="2" applyNumberFormat="1" applyFont="1" applyBorder="1"/>
    <xf numFmtId="0" fontId="31" fillId="0" borderId="0" xfId="2" applyFont="1"/>
    <xf numFmtId="170" fontId="26"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31" fillId="0" borderId="15" xfId="2" applyNumberFormat="1" applyFont="1" applyBorder="1" applyAlignment="1">
      <alignment horizontal="right"/>
    </xf>
    <xf numFmtId="166" fontId="0" fillId="0" borderId="0" xfId="2" applyNumberFormat="1" applyFont="1" applyBorder="1"/>
    <xf numFmtId="170" fontId="31" fillId="0" borderId="15" xfId="2" applyNumberFormat="1" applyFont="1" applyBorder="1" applyAlignment="1"/>
    <xf numFmtId="170" fontId="75" fillId="0" borderId="0" xfId="2" applyNumberFormat="1" applyFont="1" applyAlignment="1"/>
    <xf numFmtId="170" fontId="0" fillId="0" borderId="10" xfId="2" applyNumberFormat="1" applyFont="1" applyBorder="1"/>
    <xf numFmtId="164" fontId="0" fillId="0" borderId="10" xfId="2" applyNumberFormat="1" applyFont="1" applyBorder="1"/>
    <xf numFmtId="166" fontId="31" fillId="0" borderId="0" xfId="2" applyNumberFormat="1" applyFont="1"/>
    <xf numFmtId="172" fontId="0" fillId="0" borderId="0" xfId="2" applyNumberFormat="1" applyFont="1" applyBorder="1"/>
    <xf numFmtId="170" fontId="26" fillId="0" borderId="0" xfId="2" applyNumberFormat="1" applyFont="1" applyBorder="1"/>
    <xf numFmtId="0" fontId="31" fillId="0" borderId="0" xfId="2" applyFont="1" applyBorder="1"/>
    <xf numFmtId="164" fontId="31" fillId="0" borderId="16" xfId="2" applyNumberFormat="1" applyFont="1" applyBorder="1"/>
    <xf numFmtId="170" fontId="31" fillId="0" borderId="15" xfId="2" applyNumberFormat="1" applyFont="1" applyBorder="1" applyAlignment="1">
      <alignment horizontal="center"/>
    </xf>
    <xf numFmtId="170" fontId="26" fillId="0" borderId="0" xfId="2" applyNumberFormat="1" applyFont="1" applyAlignment="1">
      <alignment horizontal="right" vertical="center"/>
    </xf>
    <xf numFmtId="170" fontId="26" fillId="0" borderId="21" xfId="2" applyNumberFormat="1" applyFont="1" applyBorder="1" applyAlignment="1">
      <alignment horizontal="right" vertical="center"/>
    </xf>
    <xf numFmtId="170" fontId="31" fillId="0" borderId="15" xfId="2" applyNumberFormat="1" applyFont="1" applyBorder="1"/>
    <xf numFmtId="170" fontId="31" fillId="0" borderId="0" xfId="2" applyNumberFormat="1" applyFont="1" applyBorder="1"/>
    <xf numFmtId="170" fontId="31" fillId="0" borderId="10" xfId="1" applyNumberFormat="1" applyFont="1" applyBorder="1" applyAlignment="1"/>
    <xf numFmtId="172" fontId="31" fillId="0" borderId="10" xfId="2" applyNumberFormat="1" applyFont="1" applyBorder="1"/>
    <xf numFmtId="7" fontId="31" fillId="0" borderId="0" xfId="2" applyNumberFormat="1" applyFont="1"/>
    <xf numFmtId="169" fontId="26" fillId="0" borderId="21" xfId="2" applyNumberFormat="1" applyFont="1" applyBorder="1" applyAlignment="1"/>
    <xf numFmtId="166" fontId="70" fillId="0" borderId="0" xfId="2" applyNumberFormat="1" applyFont="1" applyAlignment="1">
      <alignment horizontal="left"/>
    </xf>
    <xf numFmtId="0" fontId="70" fillId="0" borderId="0" xfId="2" applyFont="1" applyAlignment="1"/>
    <xf numFmtId="0" fontId="70" fillId="0" borderId="0" xfId="2" applyFont="1"/>
    <xf numFmtId="169" fontId="0" fillId="0" borderId="0" xfId="2" applyNumberFormat="1" applyFont="1"/>
    <xf numFmtId="166" fontId="70" fillId="0" borderId="0" xfId="2" quotePrefix="1" applyNumberFormat="1" applyFont="1" applyAlignment="1">
      <alignment horizontal="left"/>
    </xf>
    <xf numFmtId="170" fontId="0" fillId="0" borderId="0" xfId="2" applyNumberFormat="1" applyFont="1"/>
    <xf numFmtId="166" fontId="26" fillId="0" borderId="0" xfId="2" quotePrefix="1" applyNumberFormat="1" applyFont="1" applyAlignment="1">
      <alignment horizontal="left"/>
    </xf>
    <xf numFmtId="179" fontId="0" fillId="0" borderId="0" xfId="2" applyNumberFormat="1" applyFont="1"/>
    <xf numFmtId="174" fontId="31" fillId="0" borderId="0" xfId="6" applyNumberFormat="1" applyFont="1" applyAlignment="1"/>
    <xf numFmtId="174" fontId="31" fillId="0" borderId="0" xfId="6" applyNumberFormat="1" applyFont="1" applyBorder="1" applyAlignment="1"/>
    <xf numFmtId="169" fontId="26" fillId="0" borderId="0" xfId="6" applyNumberFormat="1" applyFont="1" applyBorder="1" applyAlignment="1"/>
    <xf numFmtId="165" fontId="77" fillId="0" borderId="0" xfId="2" applyNumberFormat="1" applyFont="1" applyAlignment="1">
      <alignment horizontal="left"/>
    </xf>
    <xf numFmtId="170" fontId="26"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67" fillId="0" borderId="0" xfId="2" applyNumberFormat="1" applyFont="1" applyAlignment="1">
      <alignment horizontal="right"/>
    </xf>
    <xf numFmtId="166" fontId="63" fillId="0" borderId="0" xfId="2" applyNumberFormat="1" applyFont="1" applyAlignment="1"/>
    <xf numFmtId="170" fontId="49" fillId="0" borderId="0" xfId="2" quotePrefix="1" applyNumberFormat="1" applyFont="1" applyAlignment="1"/>
    <xf numFmtId="170" fontId="64" fillId="0" borderId="0" xfId="2" quotePrefix="1" applyNumberFormat="1" applyFont="1" applyAlignment="1">
      <alignment horizontal="right"/>
    </xf>
    <xf numFmtId="170" fontId="47" fillId="0" borderId="0" xfId="2" applyNumberFormat="1" applyFont="1" applyAlignment="1">
      <alignment horizontal="right"/>
    </xf>
    <xf numFmtId="170" fontId="64" fillId="0" borderId="0" xfId="2" quotePrefix="1" applyNumberFormat="1" applyFont="1" applyAlignment="1"/>
    <xf numFmtId="170" fontId="49" fillId="0" borderId="10" xfId="2" quotePrefix="1" applyNumberFormat="1" applyFont="1" applyBorder="1" applyAlignment="1"/>
    <xf numFmtId="170" fontId="64" fillId="0" borderId="20" xfId="2" applyNumberFormat="1" applyFont="1" applyBorder="1" applyAlignment="1"/>
    <xf numFmtId="170" fontId="64" fillId="0" borderId="20" xfId="2" applyNumberFormat="1" applyFont="1" applyBorder="1" applyAlignment="1">
      <alignment horizontal="right"/>
    </xf>
    <xf numFmtId="170" fontId="67" fillId="0" borderId="13" xfId="2" applyNumberFormat="1" applyFont="1" applyBorder="1" applyAlignment="1"/>
    <xf numFmtId="170" fontId="64" fillId="0" borderId="19" xfId="2" applyNumberFormat="1" applyFont="1" applyBorder="1" applyAlignment="1">
      <alignment horizontal="right"/>
    </xf>
    <xf numFmtId="170" fontId="67" fillId="0" borderId="0" xfId="2" applyNumberFormat="1" applyFont="1" applyBorder="1" applyAlignment="1">
      <alignment horizontal="right"/>
    </xf>
    <xf numFmtId="170" fontId="66" fillId="0" borderId="0" xfId="2" applyNumberFormat="1" applyFont="1" applyAlignment="1">
      <alignment horizontal="right"/>
    </xf>
    <xf numFmtId="170" fontId="67" fillId="0" borderId="0" xfId="2" applyNumberFormat="1" applyFont="1" applyAlignment="1">
      <alignment horizontal="center"/>
    </xf>
    <xf numFmtId="170" fontId="53" fillId="0" borderId="0" xfId="2" applyNumberFormat="1" applyFont="1" applyAlignment="1">
      <alignment horizontal="right"/>
    </xf>
    <xf numFmtId="166" fontId="67" fillId="0" borderId="20" xfId="2" applyNumberFormat="1" applyFont="1" applyBorder="1" applyAlignment="1"/>
    <xf numFmtId="166" fontId="67" fillId="0" borderId="20" xfId="2" applyNumberFormat="1" applyFont="1" applyBorder="1" applyAlignment="1">
      <alignment horizontal="right"/>
    </xf>
    <xf numFmtId="166" fontId="67" fillId="0" borderId="0" xfId="2" applyNumberFormat="1" applyFont="1" applyAlignment="1">
      <alignment horizontal="right"/>
    </xf>
    <xf numFmtId="166" fontId="63" fillId="0" borderId="0" xfId="2" applyNumberFormat="1" applyFont="1" applyAlignment="1">
      <alignment horizontal="right"/>
    </xf>
    <xf numFmtId="166" fontId="67" fillId="0" borderId="21" xfId="2" applyNumberFormat="1" applyFont="1" applyBorder="1" applyAlignment="1"/>
    <xf numFmtId="174" fontId="67" fillId="0" borderId="0" xfId="2" applyNumberFormat="1" applyFont="1" applyBorder="1" applyAlignment="1">
      <alignment horizontal="right"/>
    </xf>
    <xf numFmtId="166" fontId="66" fillId="0" borderId="36" xfId="2" applyNumberFormat="1" applyFont="1" applyBorder="1" applyAlignment="1"/>
    <xf numFmtId="165" fontId="66" fillId="0" borderId="0" xfId="2" applyNumberFormat="1" applyFont="1" applyAlignment="1"/>
    <xf numFmtId="165" fontId="81" fillId="0" borderId="0" xfId="2" applyNumberFormat="1" applyFont="1" applyAlignment="1"/>
    <xf numFmtId="165" fontId="49" fillId="0" borderId="20" xfId="2" applyNumberFormat="1" applyFont="1" applyBorder="1" applyAlignment="1"/>
    <xf numFmtId="174" fontId="54" fillId="0" borderId="0" xfId="2" applyNumberFormat="1" applyFont="1" applyAlignment="1"/>
    <xf numFmtId="174" fontId="54" fillId="0" borderId="21" xfId="2" applyNumberFormat="1" applyFont="1" applyBorder="1" applyAlignment="1"/>
    <xf numFmtId="174" fontId="54" fillId="0" borderId="13" xfId="2" applyNumberFormat="1" applyFont="1" applyBorder="1" applyAlignment="1"/>
    <xf numFmtId="174" fontId="54" fillId="0" borderId="0" xfId="2" applyNumberFormat="1" applyFont="1" applyBorder="1" applyAlignment="1"/>
    <xf numFmtId="175" fontId="49" fillId="0" borderId="0" xfId="2" applyNumberFormat="1" applyFont="1" applyAlignment="1"/>
    <xf numFmtId="175" fontId="49" fillId="0" borderId="21" xfId="2" applyNumberFormat="1" applyFont="1" applyBorder="1" applyAlignment="1"/>
    <xf numFmtId="175" fontId="49" fillId="0" borderId="13" xfId="2" applyNumberFormat="1" applyFont="1" applyBorder="1" applyAlignment="1"/>
    <xf numFmtId="175" fontId="49" fillId="0" borderId="0" xfId="2" applyNumberFormat="1" applyFont="1" applyBorder="1" applyAlignment="1"/>
    <xf numFmtId="170" fontId="49" fillId="0" borderId="0" xfId="2" quotePrefix="1" applyNumberFormat="1" applyFont="1" applyAlignment="1">
      <alignment horizontal="right"/>
    </xf>
    <xf numFmtId="170" fontId="49" fillId="0" borderId="21" xfId="2" applyNumberFormat="1" applyFont="1" applyBorder="1" applyAlignment="1"/>
    <xf numFmtId="170" fontId="49" fillId="0" borderId="13" xfId="2" applyNumberFormat="1" applyFont="1" applyBorder="1" applyAlignment="1"/>
    <xf numFmtId="170" fontId="49" fillId="0" borderId="20" xfId="2" applyNumberFormat="1" applyFont="1" applyBorder="1" applyAlignment="1"/>
    <xf numFmtId="170" fontId="54" fillId="0" borderId="0" xfId="2" applyNumberFormat="1" applyFont="1" applyAlignment="1"/>
    <xf numFmtId="170" fontId="54" fillId="0" borderId="21" xfId="2" applyNumberFormat="1" applyFont="1" applyBorder="1" applyAlignment="1"/>
    <xf numFmtId="170" fontId="54" fillId="0" borderId="13" xfId="2" applyNumberFormat="1" applyFont="1" applyBorder="1" applyAlignment="1"/>
    <xf numFmtId="170" fontId="54" fillId="0" borderId="0" xfId="2" applyNumberFormat="1" applyFont="1" applyBorder="1" applyAlignment="1"/>
    <xf numFmtId="170" fontId="49" fillId="0" borderId="0" xfId="1" quotePrefix="1" applyNumberFormat="1" applyFont="1" applyAlignment="1"/>
    <xf numFmtId="170" fontId="49" fillId="0" borderId="20" xfId="2" applyNumberFormat="1" applyFont="1" applyBorder="1" applyAlignment="1">
      <alignment horizontal="center"/>
    </xf>
    <xf numFmtId="170" fontId="54" fillId="0" borderId="0" xfId="2" applyNumberFormat="1" applyFont="1" applyAlignment="1">
      <alignment horizontal="right"/>
    </xf>
    <xf numFmtId="175" fontId="49" fillId="0" borderId="20" xfId="2" applyNumberFormat="1" applyFont="1" applyBorder="1" applyAlignment="1"/>
    <xf numFmtId="174" fontId="54" fillId="0" borderId="17" xfId="2" applyNumberFormat="1" applyFont="1" applyBorder="1" applyAlignment="1"/>
    <xf numFmtId="175" fontId="49" fillId="0" borderId="36" xfId="2" applyNumberFormat="1" applyFont="1" applyBorder="1" applyAlignment="1"/>
    <xf numFmtId="165" fontId="49" fillId="0" borderId="0" xfId="2" quotePrefix="1" applyNumberFormat="1" applyFont="1" applyAlignment="1"/>
    <xf numFmtId="0" fontId="82" fillId="0" borderId="0" xfId="2" applyNumberFormat="1" applyFont="1" applyAlignment="1"/>
    <xf numFmtId="0" fontId="54" fillId="0" borderId="0" xfId="2" applyNumberFormat="1" applyFont="1" applyAlignment="1">
      <alignment horizontal="right"/>
    </xf>
    <xf numFmtId="0" fontId="83" fillId="0" borderId="0" xfId="2" applyNumberFormat="1" applyFont="1" applyAlignment="1"/>
    <xf numFmtId="170" fontId="31" fillId="0" borderId="0" xfId="2" applyNumberFormat="1" applyFont="1" applyBorder="1" applyAlignment="1">
      <alignment horizontal="right"/>
    </xf>
    <xf numFmtId="0" fontId="84" fillId="0" borderId="0" xfId="2" applyNumberFormat="1" applyFont="1" applyAlignment="1"/>
    <xf numFmtId="170" fontId="31" fillId="0" borderId="18" xfId="2" applyNumberFormat="1" applyFont="1" applyBorder="1" applyAlignment="1"/>
    <xf numFmtId="0" fontId="83" fillId="0" borderId="0" xfId="2" applyNumberFormat="1" applyFont="1" applyAlignment="1">
      <alignment horizontal="left"/>
    </xf>
    <xf numFmtId="0" fontId="83" fillId="0" borderId="0" xfId="2" applyNumberFormat="1" applyFont="1" applyBorder="1" applyAlignment="1"/>
    <xf numFmtId="0" fontId="82" fillId="0" borderId="0" xfId="2" applyNumberFormat="1" applyFont="1" applyBorder="1" applyAlignment="1"/>
    <xf numFmtId="175" fontId="83" fillId="0" borderId="0" xfId="2" applyNumberFormat="1" applyFont="1" applyBorder="1" applyAlignment="1"/>
    <xf numFmtId="175" fontId="82" fillId="0" borderId="0" xfId="2" applyNumberFormat="1" applyFont="1" applyBorder="1" applyAlignment="1"/>
    <xf numFmtId="183" fontId="29" fillId="0" borderId="0" xfId="11" applyNumberFormat="1" applyFont="1" applyFill="1" applyBorder="1"/>
    <xf numFmtId="183" fontId="30" fillId="0" borderId="0" xfId="11" applyNumberFormat="1" applyFont="1" applyFill="1" applyBorder="1"/>
    <xf numFmtId="0" fontId="0" fillId="0" borderId="0" xfId="17" applyNumberFormat="1" applyFont="1"/>
    <xf numFmtId="0" fontId="31" fillId="0" borderId="0" xfId="17" applyNumberFormat="1" applyFont="1" applyAlignment="1" applyProtection="1">
      <alignment horizontal="center"/>
      <protection locked="0"/>
    </xf>
    <xf numFmtId="0" fontId="31" fillId="0" borderId="0" xfId="17" applyNumberFormat="1" applyFont="1" applyAlignment="1">
      <alignment horizontal="center"/>
    </xf>
    <xf numFmtId="49" fontId="31" fillId="0" borderId="0" xfId="17" applyNumberFormat="1" applyFont="1" applyAlignment="1">
      <alignment horizontal="center"/>
    </xf>
    <xf numFmtId="0" fontId="31" fillId="0" borderId="20" xfId="17" applyNumberFormat="1" applyFont="1" applyBorder="1" applyAlignment="1"/>
    <xf numFmtId="0" fontId="58"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31" fillId="0" borderId="0" xfId="17" applyNumberFormat="1" applyFont="1" applyBorder="1" applyAlignment="1"/>
    <xf numFmtId="174" fontId="31" fillId="0" borderId="35" xfId="17" applyNumberFormat="1" applyFont="1" applyBorder="1" applyAlignment="1"/>
    <xf numFmtId="0" fontId="0" fillId="0" borderId="0" xfId="17" applyNumberFormat="1" applyFont="1" applyFill="1"/>
    <xf numFmtId="39" fontId="53" fillId="0" borderId="0" xfId="19" applyNumberFormat="1" applyFont="1" applyAlignment="1"/>
    <xf numFmtId="191" fontId="96" fillId="0" borderId="0" xfId="11" applyNumberFormat="1" applyFont="1" applyAlignment="1">
      <alignment horizontal="right"/>
    </xf>
    <xf numFmtId="191" fontId="53" fillId="0" borderId="0" xfId="11" applyNumberFormat="1" applyFont="1" applyAlignment="1"/>
    <xf numFmtId="43" fontId="63" fillId="0" borderId="0" xfId="11" applyFont="1" applyAlignment="1"/>
    <xf numFmtId="43" fontId="53" fillId="0" borderId="0" xfId="11" applyFont="1" applyAlignment="1"/>
    <xf numFmtId="191" fontId="29" fillId="0" borderId="0" xfId="11" applyNumberFormat="1" applyFont="1" applyAlignment="1"/>
    <xf numFmtId="40" fontId="53" fillId="0" borderId="0" xfId="19" applyNumberFormat="1" applyFont="1" applyAlignment="1"/>
    <xf numFmtId="0" fontId="25" fillId="0" borderId="0" xfId="739" quotePrefix="1" applyNumberFormat="1" applyFont="1" applyAlignment="1">
      <alignment horizontal="left"/>
    </xf>
    <xf numFmtId="0" fontId="31" fillId="0" borderId="0" xfId="739" applyNumberFormat="1" applyFont="1" applyAlignment="1"/>
    <xf numFmtId="0" fontId="83" fillId="0" borderId="0" xfId="739" applyNumberFormat="1" applyFont="1" applyAlignment="1"/>
    <xf numFmtId="0" fontId="82" fillId="0" borderId="0" xfId="739" applyNumberFormat="1" applyFont="1" applyAlignment="1"/>
    <xf numFmtId="175" fontId="83" fillId="0" borderId="0" xfId="739" applyNumberFormat="1" applyFont="1" applyBorder="1" applyAlignment="1"/>
    <xf numFmtId="0" fontId="83" fillId="0" borderId="0" xfId="739" applyNumberFormat="1" applyFont="1" applyBorder="1" applyAlignment="1"/>
    <xf numFmtId="175" fontId="83" fillId="0" borderId="0" xfId="739" applyNumberFormat="1" applyFont="1" applyAlignment="1"/>
    <xf numFmtId="175" fontId="82" fillId="0" borderId="0" xfId="739" applyNumberFormat="1" applyFont="1" applyAlignment="1"/>
    <xf numFmtId="37" fontId="82" fillId="0" borderId="0" xfId="739" applyNumberFormat="1" applyFont="1" applyBorder="1" applyAlignment="1"/>
    <xf numFmtId="0" fontId="84" fillId="0" borderId="0" xfId="739" applyNumberFormat="1" applyFont="1" applyAlignment="1"/>
    <xf numFmtId="37" fontId="82" fillId="0" borderId="0" xfId="739" applyNumberFormat="1" applyFont="1" applyAlignment="1"/>
    <xf numFmtId="37" fontId="83" fillId="0" borderId="42" xfId="739" quotePrefix="1" applyNumberFormat="1" applyFont="1" applyBorder="1" applyAlignment="1">
      <alignment horizontal="center"/>
    </xf>
    <xf numFmtId="37" fontId="126" fillId="0" borderId="0" xfId="2" applyNumberFormat="1" applyFont="1"/>
    <xf numFmtId="37" fontId="126" fillId="0" borderId="0" xfId="2" applyNumberFormat="1" applyFont="1" applyFill="1"/>
    <xf numFmtId="37" fontId="127" fillId="0" borderId="0" xfId="2" applyNumberFormat="1" applyFont="1" applyFill="1" applyAlignment="1"/>
    <xf numFmtId="37" fontId="127" fillId="0" borderId="0" xfId="2" applyNumberFormat="1" applyFont="1" applyAlignment="1"/>
    <xf numFmtId="0" fontId="125" fillId="0" borderId="0" xfId="2" applyFont="1" applyFill="1" applyBorder="1" applyAlignment="1">
      <alignment horizontal="center"/>
    </xf>
    <xf numFmtId="37" fontId="125" fillId="0" borderId="0" xfId="2" applyNumberFormat="1" applyFont="1" applyFill="1" applyAlignment="1"/>
    <xf numFmtId="37" fontId="124" fillId="0" borderId="0" xfId="2" applyNumberFormat="1" applyFont="1" applyBorder="1"/>
    <xf numFmtId="37" fontId="124" fillId="0" borderId="0" xfId="2" applyNumberFormat="1" applyFont="1" applyFill="1" applyBorder="1"/>
    <xf numFmtId="37" fontId="125" fillId="0" borderId="0" xfId="2" applyNumberFormat="1" applyFont="1" applyAlignment="1"/>
    <xf numFmtId="165" fontId="129" fillId="0" borderId="0" xfId="2" applyNumberFormat="1" applyFont="1" applyFill="1" applyAlignment="1"/>
    <xf numFmtId="166" fontId="52" fillId="0" borderId="0" xfId="2" applyNumberFormat="1" applyFont="1" applyAlignment="1"/>
    <xf numFmtId="165" fontId="129" fillId="0" borderId="0" xfId="2" applyNumberFormat="1" applyFont="1" applyAlignment="1"/>
    <xf numFmtId="178" fontId="31" fillId="0" borderId="0" xfId="740" applyNumberFormat="1" applyFont="1" applyAlignment="1"/>
    <xf numFmtId="178" fontId="29" fillId="0" borderId="0" xfId="740" applyNumberFormat="1" applyFont="1" applyAlignment="1"/>
    <xf numFmtId="178" fontId="31" fillId="0" borderId="0" xfId="740" quotePrefix="1" applyNumberFormat="1" applyFont="1" applyAlignment="1">
      <alignment horizontal="right"/>
    </xf>
    <xf numFmtId="0" fontId="72" fillId="33" borderId="0" xfId="740" applyFont="1" applyFill="1" applyAlignment="1">
      <alignment horizontal="right"/>
    </xf>
    <xf numFmtId="165" fontId="87" fillId="0" borderId="0" xfId="740" applyNumberFormat="1" applyFont="1" applyAlignment="1"/>
    <xf numFmtId="178" fontId="31" fillId="0" borderId="0" xfId="740" applyNumberFormat="1" applyFont="1" applyAlignment="1">
      <alignment horizontal="center"/>
    </xf>
    <xf numFmtId="178" fontId="31" fillId="0" borderId="0" xfId="740" applyNumberFormat="1" applyFont="1" applyBorder="1" applyAlignment="1"/>
    <xf numFmtId="178" fontId="31" fillId="0" borderId="0" xfId="740" applyNumberFormat="1" applyFont="1" applyBorder="1" applyAlignment="1">
      <alignment horizontal="center"/>
    </xf>
    <xf numFmtId="178" fontId="31" fillId="0" borderId="43" xfId="740" applyNumberFormat="1" applyFont="1" applyBorder="1" applyAlignment="1">
      <alignment horizontal="center"/>
    </xf>
    <xf numFmtId="178" fontId="31" fillId="0" borderId="10" xfId="740" applyNumberFormat="1" applyFont="1" applyBorder="1" applyAlignment="1">
      <alignment horizontal="center"/>
    </xf>
    <xf numFmtId="180" fontId="31" fillId="0" borderId="10" xfId="740" quotePrefix="1" applyNumberFormat="1" applyFont="1" applyBorder="1" applyAlignment="1">
      <alignment horizontal="center"/>
    </xf>
    <xf numFmtId="178" fontId="31" fillId="0" borderId="0" xfId="740" quotePrefix="1" applyNumberFormat="1" applyFont="1" applyBorder="1" applyAlignment="1">
      <alignment horizontal="center"/>
    </xf>
    <xf numFmtId="178" fontId="58" fillId="0" borderId="0" xfId="740" applyNumberFormat="1" applyFont="1" applyAlignment="1"/>
    <xf numFmtId="178" fontId="31" fillId="0" borderId="0" xfId="740" quotePrefix="1" applyNumberFormat="1" applyFont="1" applyFill="1" applyAlignment="1">
      <alignment horizontal="left"/>
    </xf>
    <xf numFmtId="178" fontId="31" fillId="0" borderId="16" xfId="740" applyNumberFormat="1" applyFont="1" applyBorder="1" applyAlignment="1">
      <alignment horizontal="right"/>
    </xf>
    <xf numFmtId="178" fontId="31" fillId="0" borderId="16" xfId="740" applyNumberFormat="1" applyFont="1" applyFill="1" applyBorder="1" applyAlignment="1">
      <alignment horizontal="right"/>
    </xf>
    <xf numFmtId="178" fontId="31" fillId="0" borderId="0" xfId="740" applyNumberFormat="1" applyFont="1" applyFill="1" applyAlignment="1">
      <alignment horizontal="center"/>
    </xf>
    <xf numFmtId="178" fontId="58" fillId="0" borderId="0" xfId="740" applyNumberFormat="1" applyFont="1" applyFill="1" applyAlignment="1"/>
    <xf numFmtId="178" fontId="87" fillId="0" borderId="0" xfId="740" applyNumberFormat="1" applyFont="1" applyAlignment="1"/>
    <xf numFmtId="178" fontId="87" fillId="0" borderId="0" xfId="740" applyNumberFormat="1" applyFont="1" applyFill="1" applyAlignment="1"/>
    <xf numFmtId="165" fontId="87" fillId="0" borderId="0" xfId="740" applyNumberFormat="1" applyFont="1" applyFill="1" applyAlignment="1"/>
    <xf numFmtId="178" fontId="31" fillId="0" borderId="0" xfId="740" applyNumberFormat="1" applyFont="1" applyFill="1" applyAlignment="1"/>
    <xf numFmtId="0" fontId="89" fillId="0" borderId="0" xfId="740" applyFont="1"/>
    <xf numFmtId="178" fontId="31" fillId="0" borderId="16" xfId="740" applyNumberFormat="1" applyFont="1" applyBorder="1" applyAlignment="1"/>
    <xf numFmtId="178" fontId="31" fillId="0" borderId="0" xfId="740" applyNumberFormat="1" applyFont="1" applyAlignment="1">
      <alignment horizontal="left"/>
    </xf>
    <xf numFmtId="178" fontId="31" fillId="0" borderId="10" xfId="740" applyNumberFormat="1" applyFont="1" applyBorder="1" applyAlignment="1"/>
    <xf numFmtId="178" fontId="89" fillId="0" borderId="0" xfId="740" applyNumberFormat="1" applyFont="1"/>
    <xf numFmtId="178" fontId="31" fillId="0" borderId="0" xfId="740" applyNumberFormat="1" applyFont="1"/>
    <xf numFmtId="178" fontId="58" fillId="0" borderId="0" xfId="740" applyNumberFormat="1" applyFont="1" applyAlignment="1">
      <alignment horizontal="left"/>
    </xf>
    <xf numFmtId="178" fontId="31" fillId="0" borderId="16" xfId="740" applyNumberFormat="1" applyFont="1" applyFill="1" applyBorder="1" applyAlignment="1"/>
    <xf numFmtId="178" fontId="31" fillId="0" borderId="0" xfId="740" applyNumberFormat="1" applyFont="1" applyFill="1" applyBorder="1" applyAlignment="1"/>
    <xf numFmtId="178" fontId="31" fillId="0" borderId="0" xfId="740" applyNumberFormat="1" applyFont="1" applyFill="1" applyAlignment="1">
      <alignment horizontal="right"/>
    </xf>
    <xf numFmtId="181" fontId="31" fillId="0" borderId="17" xfId="740" applyNumberFormat="1" applyFont="1" applyFill="1" applyBorder="1" applyAlignment="1"/>
    <xf numFmtId="182" fontId="31" fillId="0" borderId="0" xfId="740" applyNumberFormat="1" applyFont="1" applyFill="1" applyAlignment="1">
      <alignment horizontal="right"/>
    </xf>
    <xf numFmtId="184" fontId="31" fillId="0" borderId="0" xfId="740" applyNumberFormat="1" applyFont="1" applyFill="1" applyBorder="1" applyAlignment="1"/>
    <xf numFmtId="0" fontId="54" fillId="0" borderId="0" xfId="836" applyNumberFormat="1" applyFont="1" applyAlignment="1"/>
    <xf numFmtId="0" fontId="39" fillId="0" borderId="0" xfId="836" applyNumberFormat="1" applyFont="1" applyAlignment="1"/>
    <xf numFmtId="0" fontId="40" fillId="0" borderId="0" xfId="836" applyNumberFormat="1" applyFont="1" applyAlignment="1"/>
    <xf numFmtId="0" fontId="49" fillId="0" borderId="0" xfId="836" applyNumberFormat="1" applyFont="1" applyAlignment="1"/>
    <xf numFmtId="0" fontId="54" fillId="0" borderId="0" xfId="836" applyNumberFormat="1" applyFont="1" applyAlignment="1">
      <alignment horizontal="right"/>
    </xf>
    <xf numFmtId="0" fontId="49" fillId="0" borderId="0" xfId="836" applyFont="1"/>
    <xf numFmtId="0" fontId="54" fillId="0" borderId="0" xfId="836" quotePrefix="1" applyNumberFormat="1" applyFont="1" applyAlignment="1">
      <alignment horizontal="left"/>
    </xf>
    <xf numFmtId="0" fontId="54" fillId="0" borderId="0" xfId="836" applyNumberFormat="1" applyFont="1" applyAlignment="1">
      <alignment horizontal="center"/>
    </xf>
    <xf numFmtId="0" fontId="90" fillId="0" borderId="0" xfId="836" applyNumberFormat="1" applyFont="1" applyAlignment="1">
      <alignment horizontal="center"/>
    </xf>
    <xf numFmtId="0" fontId="50" fillId="0" borderId="20" xfId="836" applyNumberFormat="1" applyFont="1" applyBorder="1" applyAlignment="1"/>
    <xf numFmtId="0" fontId="49" fillId="0" borderId="20" xfId="836" applyNumberFormat="1" applyFont="1" applyBorder="1" applyAlignment="1"/>
    <xf numFmtId="0" fontId="90" fillId="0" borderId="0" xfId="836" applyNumberFormat="1" applyFont="1" applyAlignment="1"/>
    <xf numFmtId="173" fontId="49" fillId="0" borderId="0" xfId="836" applyNumberFormat="1" applyFont="1" applyAlignment="1"/>
    <xf numFmtId="0" fontId="49" fillId="0" borderId="0" xfId="836" applyNumberFormat="1" applyFont="1" applyFill="1" applyAlignment="1"/>
    <xf numFmtId="0" fontId="49" fillId="0" borderId="0" xfId="836" applyNumberFormat="1" applyFont="1" applyFill="1" applyAlignment="1">
      <alignment horizontal="right"/>
    </xf>
    <xf numFmtId="181" fontId="49" fillId="0" borderId="0" xfId="836" applyNumberFormat="1" applyFont="1" applyFill="1" applyAlignment="1">
      <alignment horizontal="right"/>
    </xf>
    <xf numFmtId="0" fontId="49" fillId="0" borderId="0" xfId="836" applyFont="1" applyFill="1"/>
    <xf numFmtId="178" fontId="49" fillId="0" borderId="0" xfId="836" applyNumberFormat="1" applyFont="1" applyFill="1" applyAlignment="1">
      <alignment horizontal="right"/>
    </xf>
    <xf numFmtId="178" fontId="49" fillId="0" borderId="0" xfId="836" applyNumberFormat="1" applyFont="1" applyFill="1" applyAlignment="1"/>
    <xf numFmtId="178" fontId="49" fillId="0" borderId="0" xfId="836" quotePrefix="1" applyNumberFormat="1" applyFont="1" applyAlignment="1">
      <alignment horizontal="right"/>
    </xf>
    <xf numFmtId="178" fontId="49" fillId="0" borderId="0" xfId="836" quotePrefix="1" applyNumberFormat="1" applyFont="1" applyFill="1" applyAlignment="1">
      <alignment horizontal="right"/>
    </xf>
    <xf numFmtId="0" fontId="49" fillId="0" borderId="0" xfId="836" quotePrefix="1" applyNumberFormat="1" applyFont="1" applyFill="1" applyAlignment="1">
      <alignment horizontal="left"/>
    </xf>
    <xf numFmtId="178" fontId="49" fillId="0" borderId="0" xfId="836" applyNumberFormat="1" applyFont="1" applyFill="1" applyBorder="1" applyAlignment="1"/>
    <xf numFmtId="178" fontId="49" fillId="0" borderId="0" xfId="836" applyNumberFormat="1" applyFont="1" applyFill="1" applyBorder="1" applyAlignment="1">
      <alignment horizontal="right"/>
    </xf>
    <xf numFmtId="178" fontId="54" fillId="0" borderId="16" xfId="836" applyNumberFormat="1" applyFont="1" applyBorder="1" applyAlignment="1">
      <alignment horizontal="right"/>
    </xf>
    <xf numFmtId="178" fontId="54" fillId="0" borderId="0" xfId="836" applyNumberFormat="1" applyFont="1" applyBorder="1" applyAlignment="1">
      <alignment horizontal="right"/>
    </xf>
    <xf numFmtId="178" fontId="54" fillId="0" borderId="0" xfId="836" applyNumberFormat="1" applyFont="1" applyAlignment="1">
      <alignment horizontal="right"/>
    </xf>
    <xf numFmtId="186" fontId="54" fillId="0" borderId="0" xfId="836" applyNumberFormat="1" applyFont="1" applyAlignment="1"/>
    <xf numFmtId="186" fontId="49" fillId="0" borderId="20" xfId="836" applyNumberFormat="1" applyFont="1" applyBorder="1" applyAlignment="1"/>
    <xf numFmtId="186" fontId="49" fillId="0" borderId="0" xfId="836" applyNumberFormat="1" applyFont="1" applyAlignment="1"/>
    <xf numFmtId="186" fontId="49" fillId="0" borderId="0" xfId="836" applyNumberFormat="1" applyFont="1" applyAlignment="1">
      <alignment horizontal="right"/>
    </xf>
    <xf numFmtId="178" fontId="49" fillId="0" borderId="0" xfId="836" applyNumberFormat="1" applyFont="1" applyFill="1" applyAlignment="1">
      <alignment horizontal="center"/>
    </xf>
    <xf numFmtId="182" fontId="54" fillId="0" borderId="0" xfId="836" applyNumberFormat="1" applyFont="1" applyAlignment="1"/>
    <xf numFmtId="186" fontId="49" fillId="0" borderId="20" xfId="836" applyNumberFormat="1" applyFont="1" applyBorder="1" applyAlignment="1">
      <alignment horizontal="right"/>
    </xf>
    <xf numFmtId="186" fontId="49" fillId="0" borderId="0" xfId="836" applyNumberFormat="1" applyFont="1" applyBorder="1" applyAlignment="1">
      <alignment horizontal="right"/>
    </xf>
    <xf numFmtId="0" fontId="49" fillId="0" borderId="0" xfId="836" applyNumberFormat="1" applyFont="1" applyAlignment="1">
      <alignment horizontal="right"/>
    </xf>
    <xf numFmtId="186" fontId="49" fillId="0" borderId="36" xfId="836" applyNumberFormat="1" applyFont="1" applyBorder="1" applyAlignment="1"/>
    <xf numFmtId="182" fontId="49" fillId="0" borderId="0" xfId="836" applyNumberFormat="1" applyFont="1" applyAlignment="1"/>
    <xf numFmtId="0" fontId="26" fillId="0" borderId="0" xfId="836" quotePrefix="1" applyNumberFormat="1" applyFont="1" applyAlignment="1">
      <alignment horizontal="left"/>
    </xf>
    <xf numFmtId="0" fontId="66" fillId="0" borderId="0" xfId="836" applyNumberFormat="1" applyFont="1" applyAlignment="1"/>
    <xf numFmtId="165" fontId="66" fillId="0" borderId="0" xfId="836" applyNumberFormat="1" applyFont="1" applyAlignment="1"/>
    <xf numFmtId="39" fontId="66" fillId="0" borderId="0" xfId="836" applyNumberFormat="1" applyFont="1" applyAlignment="1"/>
    <xf numFmtId="39" fontId="66" fillId="0" borderId="0" xfId="836" applyNumberFormat="1" applyFont="1" applyAlignment="1">
      <alignment horizontal="left"/>
    </xf>
    <xf numFmtId="166" fontId="66" fillId="0" borderId="0" xfId="836" applyNumberFormat="1" applyFont="1" applyAlignment="1"/>
    <xf numFmtId="177" fontId="66" fillId="0" borderId="0" xfId="836" applyNumberFormat="1" applyFont="1" applyAlignment="1"/>
    <xf numFmtId="186" fontId="49" fillId="0" borderId="0" xfId="836" quotePrefix="1" applyNumberFormat="1" applyFont="1" applyAlignment="1">
      <alignment horizontal="center"/>
    </xf>
    <xf numFmtId="173" fontId="53" fillId="0" borderId="0" xfId="836" applyNumberFormat="1" applyFont="1" applyFill="1" applyAlignment="1"/>
    <xf numFmtId="0" fontId="54" fillId="0" borderId="0" xfId="836" applyNumberFormat="1" applyFont="1" applyFill="1" applyAlignment="1"/>
    <xf numFmtId="0" fontId="31" fillId="0" borderId="0" xfId="836" applyNumberFormat="1" applyFont="1" applyFill="1" applyAlignment="1"/>
    <xf numFmtId="173" fontId="26" fillId="0" borderId="0" xfId="836" applyNumberFormat="1" applyFont="1" applyFill="1" applyAlignment="1"/>
    <xf numFmtId="0" fontId="54" fillId="0" borderId="0" xfId="836" applyNumberFormat="1" applyFont="1" applyFill="1" applyAlignment="1">
      <alignment horizontal="right"/>
    </xf>
    <xf numFmtId="173" fontId="49" fillId="0" borderId="0" xfId="836" applyNumberFormat="1" applyFont="1" applyFill="1" applyAlignment="1"/>
    <xf numFmtId="0" fontId="31" fillId="0" borderId="0" xfId="836" applyNumberFormat="1" applyFont="1" applyFill="1" applyAlignment="1">
      <alignment horizontal="right"/>
    </xf>
    <xf numFmtId="0" fontId="54" fillId="0" borderId="0" xfId="836" quotePrefix="1" applyNumberFormat="1" applyFont="1" applyFill="1" applyAlignment="1">
      <alignment horizontal="left"/>
    </xf>
    <xf numFmtId="0" fontId="90" fillId="0" borderId="0" xfId="836" applyNumberFormat="1" applyFont="1" applyFill="1" applyAlignment="1"/>
    <xf numFmtId="182" fontId="26" fillId="0" borderId="0" xfId="836" applyNumberFormat="1" applyFont="1" applyFill="1" applyBorder="1" applyAlignment="1"/>
    <xf numFmtId="173" fontId="49" fillId="0" borderId="0" xfId="836" applyNumberFormat="1" applyFont="1" applyFill="1" applyBorder="1" applyAlignment="1"/>
    <xf numFmtId="165" fontId="49" fillId="0" borderId="0" xfId="836" applyNumberFormat="1" applyFont="1" applyFill="1" applyBorder="1" applyAlignment="1"/>
    <xf numFmtId="182" fontId="26" fillId="0" borderId="0" xfId="836" applyNumberFormat="1" applyFont="1" applyFill="1" applyAlignment="1"/>
    <xf numFmtId="182" fontId="31" fillId="0" borderId="0" xfId="836" applyNumberFormat="1" applyFont="1" applyFill="1" applyAlignment="1"/>
    <xf numFmtId="0" fontId="90" fillId="0" borderId="0" xfId="836" applyNumberFormat="1" applyFont="1" applyFill="1" applyBorder="1" applyAlignment="1"/>
    <xf numFmtId="173" fontId="31" fillId="0" borderId="0" xfId="836" applyNumberFormat="1" applyFont="1" applyFill="1" applyAlignment="1"/>
    <xf numFmtId="173" fontId="54" fillId="0" borderId="0" xfId="836" applyNumberFormat="1" applyFont="1" applyFill="1" applyAlignment="1"/>
    <xf numFmtId="182" fontId="26" fillId="0" borderId="0" xfId="836" quotePrefix="1" applyNumberFormat="1" applyFont="1" applyFill="1" applyAlignment="1">
      <alignment horizontal="left"/>
    </xf>
    <xf numFmtId="165" fontId="49" fillId="0" borderId="0" xfId="836" applyNumberFormat="1" applyFont="1" applyFill="1" applyAlignment="1"/>
    <xf numFmtId="173" fontId="54" fillId="0" borderId="0" xfId="836" applyNumberFormat="1" applyFont="1" applyFill="1" applyAlignment="1">
      <alignment horizontal="centerContinuous"/>
    </xf>
    <xf numFmtId="173" fontId="54" fillId="0" borderId="0" xfId="836" applyNumberFormat="1" applyFont="1" applyFill="1" applyAlignment="1">
      <alignment horizontal="center"/>
    </xf>
    <xf numFmtId="0" fontId="90" fillId="0" borderId="0" xfId="836" applyNumberFormat="1" applyFont="1" applyFill="1" applyAlignment="1">
      <alignment horizontal="center"/>
    </xf>
    <xf numFmtId="0" fontId="54" fillId="0" borderId="0" xfId="836" applyNumberFormat="1" applyFont="1" applyFill="1" applyBorder="1" applyAlignment="1">
      <alignment horizontal="center"/>
    </xf>
    <xf numFmtId="173" fontId="49" fillId="0" borderId="0" xfId="836" applyNumberFormat="1" applyFont="1" applyFill="1" applyAlignment="1">
      <alignment horizontal="right"/>
    </xf>
    <xf numFmtId="177" fontId="49" fillId="0" borderId="0" xfId="836" applyNumberFormat="1" applyFont="1" applyFill="1" applyAlignment="1"/>
    <xf numFmtId="173" fontId="49" fillId="0" borderId="0" xfId="836" applyNumberFormat="1" applyFont="1" applyFill="1" applyAlignment="1" applyProtection="1">
      <protection locked="0"/>
    </xf>
    <xf numFmtId="177" fontId="49" fillId="0" borderId="0" xfId="836" applyNumberFormat="1" applyFont="1" applyFill="1" applyAlignment="1" applyProtection="1">
      <protection locked="0"/>
    </xf>
    <xf numFmtId="173" fontId="49" fillId="0" borderId="0" xfId="836" applyNumberFormat="1" applyFont="1" applyFill="1" applyAlignment="1">
      <alignment horizontal="center"/>
    </xf>
    <xf numFmtId="177" fontId="49" fillId="0" borderId="0" xfId="836" applyNumberFormat="1" applyFont="1" applyFill="1" applyAlignment="1" applyProtection="1">
      <alignment horizontal="right"/>
      <protection locked="0"/>
    </xf>
    <xf numFmtId="177" fontId="49" fillId="0" borderId="0" xfId="836" applyNumberFormat="1" applyFont="1" applyFill="1" applyAlignment="1">
      <alignment horizontal="center"/>
    </xf>
    <xf numFmtId="0" fontId="50" fillId="0" borderId="0" xfId="836" applyNumberFormat="1" applyFont="1" applyFill="1" applyAlignment="1"/>
    <xf numFmtId="182" fontId="54" fillId="0" borderId="0" xfId="836" applyNumberFormat="1" applyFont="1" applyAlignment="1">
      <alignment horizontal="centerContinuous"/>
    </xf>
    <xf numFmtId="182" fontId="29" fillId="0" borderId="0" xfId="836" applyNumberFormat="1" applyFont="1" applyAlignment="1"/>
    <xf numFmtId="182" fontId="54" fillId="0" borderId="0" xfId="836" quotePrefix="1" applyNumberFormat="1" applyFont="1" applyAlignment="1">
      <alignment horizontal="left"/>
    </xf>
    <xf numFmtId="182" fontId="54" fillId="0" borderId="0" xfId="836" applyNumberFormat="1" applyFont="1" applyAlignment="1">
      <alignment horizontal="center"/>
    </xf>
    <xf numFmtId="182" fontId="90" fillId="0" borderId="0" xfId="836" applyNumberFormat="1" applyFont="1" applyAlignment="1">
      <alignment horizontal="center"/>
    </xf>
    <xf numFmtId="182" fontId="54" fillId="0" borderId="20" xfId="836" applyNumberFormat="1" applyFont="1" applyBorder="1" applyAlignment="1">
      <alignment horizontal="center"/>
    </xf>
    <xf numFmtId="182" fontId="54" fillId="0" borderId="20" xfId="836" quotePrefix="1" applyNumberFormat="1" applyFont="1" applyBorder="1" applyAlignment="1">
      <alignment horizontal="fill"/>
    </xf>
    <xf numFmtId="182" fontId="90" fillId="0" borderId="0" xfId="836" applyNumberFormat="1" applyFont="1" applyAlignment="1"/>
    <xf numFmtId="182" fontId="49" fillId="0" borderId="0" xfId="836" applyNumberFormat="1" applyFont="1" applyAlignment="1">
      <alignment horizontal="left"/>
    </xf>
    <xf numFmtId="181" fontId="49" fillId="0" borderId="0" xfId="836" applyNumberFormat="1" applyFont="1" applyAlignment="1">
      <alignment horizontal="right"/>
    </xf>
    <xf numFmtId="182" fontId="49" fillId="0" borderId="0" xfId="836" quotePrefix="1" applyNumberFormat="1" applyFont="1" applyAlignment="1">
      <alignment horizontal="left"/>
    </xf>
    <xf numFmtId="178" fontId="49" fillId="0" borderId="0" xfId="836" applyNumberFormat="1" applyFont="1" applyAlignment="1"/>
    <xf numFmtId="178" fontId="49" fillId="0" borderId="0" xfId="836" applyNumberFormat="1" applyFont="1" applyBorder="1" applyAlignment="1">
      <alignment horizontal="right"/>
    </xf>
    <xf numFmtId="182" fontId="54" fillId="0" borderId="0" xfId="836" applyNumberFormat="1" applyFont="1" applyAlignment="1">
      <alignment horizontal="left"/>
    </xf>
    <xf numFmtId="181" fontId="54" fillId="0" borderId="48" xfId="836" applyNumberFormat="1" applyFont="1" applyBorder="1" applyAlignment="1">
      <alignment horizontal="right"/>
    </xf>
    <xf numFmtId="181" fontId="54" fillId="0" borderId="0" xfId="836" applyNumberFormat="1" applyFont="1" applyAlignment="1">
      <alignment horizontal="right"/>
    </xf>
    <xf numFmtId="182" fontId="30" fillId="0" borderId="0" xfId="836" applyNumberFormat="1" applyFont="1" applyAlignment="1"/>
    <xf numFmtId="182" fontId="49" fillId="0" borderId="0" xfId="836" applyNumberFormat="1" applyFont="1" applyBorder="1" applyAlignment="1"/>
    <xf numFmtId="182" fontId="90" fillId="0" borderId="0" xfId="836" quotePrefix="1" applyNumberFormat="1" applyFont="1" applyAlignment="1">
      <alignment horizontal="left"/>
    </xf>
    <xf numFmtId="182" fontId="29" fillId="0" borderId="0" xfId="836" applyNumberFormat="1" applyFont="1" applyAlignment="1">
      <alignment horizontal="left" vertical="top" wrapText="1"/>
    </xf>
    <xf numFmtId="0" fontId="26" fillId="0" borderId="0" xfId="836" applyBorder="1" applyAlignment="1"/>
    <xf numFmtId="182" fontId="29" fillId="0" borderId="0" xfId="836" applyNumberFormat="1" applyFont="1" applyBorder="1" applyAlignment="1">
      <alignment horizontal="left" vertical="top" wrapText="1"/>
    </xf>
    <xf numFmtId="182" fontId="29" fillId="0" borderId="0" xfId="836" quotePrefix="1" applyNumberFormat="1" applyFont="1" applyBorder="1" applyAlignment="1">
      <alignment horizontal="left" wrapText="1"/>
    </xf>
    <xf numFmtId="182" fontId="29" fillId="0" borderId="0" xfId="836" applyNumberFormat="1" applyFont="1" applyBorder="1" applyAlignment="1"/>
    <xf numFmtId="182" fontId="29" fillId="0" borderId="0" xfId="836" applyNumberFormat="1" applyFont="1" applyBorder="1" applyAlignment="1">
      <alignment horizontal="right"/>
    </xf>
    <xf numFmtId="39" fontId="29" fillId="0" borderId="0" xfId="836" applyNumberFormat="1" applyFont="1" applyBorder="1" applyAlignment="1"/>
    <xf numFmtId="39" fontId="29" fillId="0" borderId="0" xfId="836" applyNumberFormat="1" applyFont="1" applyAlignment="1"/>
    <xf numFmtId="182" fontId="29" fillId="0" borderId="0" xfId="836" quotePrefix="1" applyNumberFormat="1" applyFont="1" applyBorder="1" applyAlignment="1">
      <alignment horizontal="left"/>
    </xf>
    <xf numFmtId="39" fontId="29" fillId="0" borderId="0" xfId="836" quotePrefix="1" applyNumberFormat="1" applyFont="1" applyBorder="1" applyAlignment="1">
      <alignment horizontal="center"/>
    </xf>
    <xf numFmtId="39" fontId="29" fillId="0" borderId="0" xfId="836" quotePrefix="1" applyNumberFormat="1" applyFont="1" applyBorder="1" applyAlignment="1">
      <alignment horizontal="right"/>
    </xf>
    <xf numFmtId="182" fontId="30" fillId="0" borderId="0" xfId="836" quotePrefix="1" applyNumberFormat="1" applyFont="1" applyBorder="1" applyAlignment="1">
      <alignment horizontal="left"/>
    </xf>
    <xf numFmtId="182" fontId="29" fillId="0" borderId="0" xfId="836" applyNumberFormat="1" applyFont="1" applyBorder="1" applyAlignment="1">
      <alignment horizontal="left"/>
    </xf>
    <xf numFmtId="39" fontId="30" fillId="0" borderId="0" xfId="836" quotePrefix="1" applyNumberFormat="1" applyFont="1" applyBorder="1" applyAlignment="1">
      <alignment horizontal="center"/>
    </xf>
    <xf numFmtId="39" fontId="30" fillId="0" borderId="0" xfId="836" applyNumberFormat="1" applyFont="1" applyBorder="1" applyAlignment="1"/>
    <xf numFmtId="165" fontId="29" fillId="0" borderId="0" xfId="840" applyNumberFormat="1" applyFont="1" applyAlignment="1"/>
    <xf numFmtId="165" fontId="96" fillId="0" borderId="0" xfId="840" applyNumberFormat="1" applyFont="1" applyAlignment="1">
      <alignment horizontal="right"/>
    </xf>
    <xf numFmtId="39" fontId="29" fillId="0" borderId="0" xfId="840" applyNumberFormat="1" applyFont="1" applyAlignment="1"/>
    <xf numFmtId="40" fontId="29" fillId="0" borderId="0" xfId="840" applyNumberFormat="1" applyFont="1" applyAlignment="1"/>
    <xf numFmtId="165" fontId="53" fillId="0" borderId="0" xfId="840" applyNumberFormat="1" applyFont="1" applyAlignment="1"/>
    <xf numFmtId="5" fontId="31" fillId="0" borderId="0" xfId="840" applyNumberFormat="1" applyFont="1" applyAlignment="1"/>
    <xf numFmtId="40" fontId="31" fillId="0" borderId="0" xfId="840" applyNumberFormat="1" applyFont="1" applyAlignment="1"/>
    <xf numFmtId="165" fontId="63" fillId="0" borderId="0" xfId="840" applyNumberFormat="1" applyFont="1" applyAlignment="1">
      <alignment horizontal="right"/>
    </xf>
    <xf numFmtId="0" fontId="55" fillId="0" borderId="0" xfId="840" quotePrefix="1" applyNumberFormat="1" applyFont="1" applyAlignment="1">
      <alignment horizontal="left"/>
    </xf>
    <xf numFmtId="0" fontId="54" fillId="0" borderId="0" xfId="840" applyNumberFormat="1" applyFont="1" applyAlignment="1"/>
    <xf numFmtId="40" fontId="97" fillId="0" borderId="0" xfId="840" applyNumberFormat="1" applyFont="1" applyAlignment="1">
      <alignment horizontal="center"/>
    </xf>
    <xf numFmtId="40" fontId="31" fillId="0" borderId="0" xfId="840" quotePrefix="1" applyNumberFormat="1" applyFont="1" applyBorder="1" applyAlignment="1">
      <alignment horizontal="left"/>
    </xf>
    <xf numFmtId="40" fontId="31" fillId="0" borderId="0" xfId="840" applyNumberFormat="1" applyFont="1" applyBorder="1" applyAlignment="1">
      <alignment horizontal="left"/>
    </xf>
    <xf numFmtId="39" fontId="31" fillId="0" borderId="0" xfId="840" quotePrefix="1" applyNumberFormat="1" applyFont="1" applyAlignment="1">
      <alignment horizontal="center"/>
    </xf>
    <xf numFmtId="40" fontId="31" fillId="0" borderId="0" xfId="840" applyNumberFormat="1" applyFont="1" applyAlignment="1">
      <alignment horizontal="center"/>
    </xf>
    <xf numFmtId="40" fontId="31" fillId="0" borderId="0" xfId="840" applyNumberFormat="1" applyFont="1" applyBorder="1" applyAlignment="1">
      <alignment horizontal="center"/>
    </xf>
    <xf numFmtId="39" fontId="31" fillId="0" borderId="0" xfId="840" applyNumberFormat="1" applyFont="1" applyAlignment="1">
      <alignment horizontal="center"/>
    </xf>
    <xf numFmtId="39" fontId="31" fillId="0" borderId="0" xfId="840" applyNumberFormat="1" applyFont="1" applyBorder="1" applyAlignment="1">
      <alignment horizontal="center"/>
    </xf>
    <xf numFmtId="37" fontId="31" fillId="0" borderId="0" xfId="840" applyNumberFormat="1" applyFont="1" applyFill="1" applyBorder="1" applyAlignment="1"/>
    <xf numFmtId="187" fontId="31" fillId="0" borderId="0" xfId="840" quotePrefix="1" applyNumberFormat="1" applyFont="1" applyBorder="1" applyAlignment="1">
      <alignment horizontal="center"/>
    </xf>
    <xf numFmtId="165" fontId="53" fillId="0" borderId="0" xfId="840" applyNumberFormat="1" applyFont="1" applyBorder="1" applyAlignment="1"/>
    <xf numFmtId="42" fontId="31" fillId="0" borderId="0" xfId="840" applyNumberFormat="1" applyFont="1" applyAlignment="1"/>
    <xf numFmtId="42" fontId="31" fillId="0" borderId="0" xfId="840" applyNumberFormat="1" applyFont="1" applyBorder="1" applyAlignment="1"/>
    <xf numFmtId="42" fontId="31" fillId="0" borderId="0" xfId="840" applyNumberFormat="1" applyFont="1" applyFill="1" applyBorder="1" applyAlignment="1"/>
    <xf numFmtId="37" fontId="31" fillId="0" borderId="0" xfId="840" applyNumberFormat="1" applyFont="1" applyAlignment="1"/>
    <xf numFmtId="165" fontId="63" fillId="0" borderId="0" xfId="840" applyNumberFormat="1" applyFont="1" applyAlignment="1"/>
    <xf numFmtId="0" fontId="31" fillId="0" borderId="0" xfId="840" applyNumberFormat="1" applyFont="1" applyAlignment="1"/>
    <xf numFmtId="41" fontId="31" fillId="0" borderId="16" xfId="840" applyNumberFormat="1" applyFont="1" applyBorder="1" applyAlignment="1"/>
    <xf numFmtId="41" fontId="31" fillId="0" borderId="0" xfId="840" applyNumberFormat="1" applyFont="1" applyBorder="1" applyAlignment="1"/>
    <xf numFmtId="41" fontId="31" fillId="0" borderId="0" xfId="840" applyNumberFormat="1" applyFont="1" applyAlignment="1"/>
    <xf numFmtId="41" fontId="31" fillId="0" borderId="16" xfId="840" applyNumberFormat="1" applyFont="1" applyFill="1" applyBorder="1" applyAlignment="1"/>
    <xf numFmtId="41" fontId="31" fillId="0" borderId="0" xfId="840" applyNumberFormat="1" applyFont="1" applyFill="1" applyBorder="1" applyAlignment="1"/>
    <xf numFmtId="0" fontId="31" fillId="0" borderId="0" xfId="840" applyNumberFormat="1" applyFont="1" applyFill="1" applyAlignment="1"/>
    <xf numFmtId="0" fontId="31" fillId="0" borderId="0" xfId="840" applyNumberFormat="1" applyFont="1" applyFill="1" applyAlignment="1">
      <alignment horizontal="left"/>
    </xf>
    <xf numFmtId="41" fontId="53" fillId="0" borderId="0" xfId="840" applyNumberFormat="1" applyFont="1" applyAlignment="1"/>
    <xf numFmtId="41" fontId="31" fillId="0" borderId="16" xfId="840" quotePrefix="1" applyNumberFormat="1" applyFont="1" applyBorder="1" applyAlignment="1"/>
    <xf numFmtId="42" fontId="31" fillId="0" borderId="17" xfId="840" applyNumberFormat="1" applyFont="1" applyBorder="1" applyAlignment="1"/>
    <xf numFmtId="37" fontId="31" fillId="0" borderId="0" xfId="840" applyNumberFormat="1" applyFont="1" applyFill="1" applyAlignment="1"/>
    <xf numFmtId="42" fontId="31" fillId="0" borderId="0" xfId="840" applyNumberFormat="1" applyFont="1" applyFill="1" applyAlignment="1"/>
    <xf numFmtId="0" fontId="29" fillId="0" borderId="0" xfId="840" applyNumberFormat="1" applyFont="1" applyAlignment="1">
      <alignment horizontal="left"/>
    </xf>
    <xf numFmtId="0" fontId="49" fillId="0" borderId="0" xfId="840" quotePrefix="1" applyNumberFormat="1" applyFont="1" applyAlignment="1">
      <alignment horizontal="left"/>
    </xf>
    <xf numFmtId="0" fontId="109" fillId="0" borderId="0" xfId="841" applyFont="1"/>
    <xf numFmtId="166" fontId="46" fillId="0" borderId="0" xfId="2" applyNumberFormat="1" applyFont="1" applyAlignment="1"/>
    <xf numFmtId="166" fontId="46" fillId="0" borderId="0" xfId="2" quotePrefix="1" applyNumberFormat="1" applyFont="1" applyAlignment="1">
      <alignment horizontal="left"/>
    </xf>
    <xf numFmtId="166" fontId="47" fillId="0" borderId="0" xfId="2" applyNumberFormat="1" applyFont="1" applyAlignment="1">
      <alignment horizontal="center"/>
    </xf>
    <xf numFmtId="166" fontId="47" fillId="0" borderId="20" xfId="2" applyNumberFormat="1" applyFont="1" applyBorder="1" applyAlignment="1"/>
    <xf numFmtId="174" fontId="46" fillId="0" borderId="0" xfId="2" applyNumberFormat="1" applyFont="1" applyAlignment="1"/>
    <xf numFmtId="174" fontId="46" fillId="0" borderId="18" xfId="2" applyNumberFormat="1" applyFont="1" applyBorder="1" applyAlignment="1"/>
    <xf numFmtId="174" fontId="46" fillId="0" borderId="21" xfId="2" applyNumberFormat="1" applyFont="1" applyBorder="1" applyAlignment="1"/>
    <xf numFmtId="166" fontId="47" fillId="0" borderId="0" xfId="2" applyNumberFormat="1" applyFont="1" applyAlignment="1">
      <alignment horizontal="right"/>
    </xf>
    <xf numFmtId="166" fontId="47" fillId="0" borderId="18" xfId="2" applyNumberFormat="1" applyFont="1" applyBorder="1" applyAlignment="1"/>
    <xf numFmtId="166" fontId="47" fillId="0" borderId="21" xfId="2" applyNumberFormat="1" applyFont="1" applyBorder="1" applyAlignment="1"/>
    <xf numFmtId="170" fontId="47" fillId="0" borderId="0" xfId="2" applyNumberFormat="1" applyFont="1" applyAlignment="1"/>
    <xf numFmtId="170" fontId="47" fillId="0" borderId="18" xfId="2" applyNumberFormat="1" applyFont="1" applyBorder="1" applyAlignment="1"/>
    <xf numFmtId="170" fontId="47" fillId="0" borderId="21" xfId="2" applyNumberFormat="1" applyFont="1" applyBorder="1" applyAlignment="1"/>
    <xf numFmtId="170" fontId="47" fillId="0" borderId="13" xfId="2" applyNumberFormat="1" applyFont="1" applyBorder="1" applyAlignment="1"/>
    <xf numFmtId="170" fontId="47" fillId="0" borderId="10" xfId="2" applyNumberFormat="1" applyFont="1" applyBorder="1" applyAlignment="1"/>
    <xf numFmtId="170" fontId="47" fillId="0" borderId="69" xfId="2" applyNumberFormat="1" applyFont="1" applyBorder="1" applyAlignment="1"/>
    <xf numFmtId="166" fontId="47" fillId="0" borderId="19" xfId="2" applyNumberFormat="1" applyFont="1" applyBorder="1" applyAlignment="1"/>
    <xf numFmtId="170" fontId="46" fillId="0" borderId="10" xfId="2" applyNumberFormat="1" applyFont="1" applyBorder="1" applyAlignment="1">
      <alignment horizontal="right"/>
    </xf>
    <xf numFmtId="170" fontId="46" fillId="0" borderId="0" xfId="2" applyNumberFormat="1" applyFont="1" applyAlignment="1"/>
    <xf numFmtId="170" fontId="46" fillId="0" borderId="18" xfId="2" applyNumberFormat="1" applyFont="1" applyBorder="1" applyAlignment="1"/>
    <xf numFmtId="170" fontId="46" fillId="0" borderId="21" xfId="2" applyNumberFormat="1" applyFont="1" applyBorder="1" applyAlignment="1"/>
    <xf numFmtId="170" fontId="51" fillId="0" borderId="0" xfId="2" applyNumberFormat="1" applyFont="1" applyBorder="1" applyAlignment="1"/>
    <xf numFmtId="170" fontId="47" fillId="0" borderId="0" xfId="2" applyNumberFormat="1" applyFont="1" applyBorder="1" applyAlignment="1"/>
    <xf numFmtId="170" fontId="47" fillId="0" borderId="0" xfId="2" quotePrefix="1" applyNumberFormat="1" applyFont="1" applyBorder="1" applyAlignment="1">
      <alignment horizontal="right"/>
    </xf>
    <xf numFmtId="170" fontId="47" fillId="0" borderId="0" xfId="2" quotePrefix="1" applyNumberFormat="1" applyFont="1" applyBorder="1" applyAlignment="1">
      <alignment horizontal="center"/>
    </xf>
    <xf numFmtId="170" fontId="47" fillId="0" borderId="24" xfId="2" applyNumberFormat="1" applyFont="1" applyBorder="1" applyAlignment="1"/>
    <xf numFmtId="170" fontId="47" fillId="0" borderId="0" xfId="2" applyNumberFormat="1" applyFont="1" applyBorder="1" applyAlignment="1">
      <alignment horizontal="right"/>
    </xf>
    <xf numFmtId="170" fontId="26" fillId="0" borderId="69" xfId="2" applyNumberFormat="1" applyFont="1" applyBorder="1" applyAlignment="1"/>
    <xf numFmtId="166" fontId="47" fillId="0" borderId="0" xfId="2" quotePrefix="1" applyNumberFormat="1" applyFont="1" applyAlignment="1">
      <alignment horizontal="left"/>
    </xf>
    <xf numFmtId="170" fontId="46" fillId="0" borderId="16" xfId="2" applyNumberFormat="1" applyFont="1" applyBorder="1" applyAlignment="1"/>
    <xf numFmtId="170" fontId="46" fillId="0" borderId="24" xfId="2" applyNumberFormat="1" applyFont="1" applyBorder="1" applyAlignment="1"/>
    <xf numFmtId="170" fontId="46" fillId="0" borderId="10" xfId="2" applyNumberFormat="1" applyFont="1" applyBorder="1" applyAlignment="1"/>
    <xf numFmtId="170" fontId="131" fillId="0" borderId="0" xfId="2" applyNumberFormat="1" applyFont="1" applyBorder="1" applyAlignment="1"/>
    <xf numFmtId="170" fontId="131" fillId="0" borderId="0" xfId="2" applyNumberFormat="1" applyFont="1" applyAlignment="1"/>
    <xf numFmtId="170" fontId="47" fillId="0" borderId="0" xfId="2" applyNumberFormat="1" applyFont="1" applyAlignment="1">
      <alignment horizontal="center"/>
    </xf>
    <xf numFmtId="170" fontId="47" fillId="0" borderId="0" xfId="2" quotePrefix="1" applyNumberFormat="1" applyFont="1" applyAlignment="1">
      <alignment horizontal="center"/>
    </xf>
    <xf numFmtId="170" fontId="51" fillId="0" borderId="18" xfId="2" applyNumberFormat="1" applyFont="1" applyBorder="1" applyAlignment="1"/>
    <xf numFmtId="170" fontId="52" fillId="0" borderId="0" xfId="2" applyNumberFormat="1" applyFont="1" applyAlignment="1"/>
    <xf numFmtId="170" fontId="52" fillId="0" borderId="18" xfId="2" applyNumberFormat="1" applyFont="1" applyBorder="1" applyAlignment="1"/>
    <xf numFmtId="170" fontId="46" fillId="0" borderId="0" xfId="2" applyNumberFormat="1" applyFont="1" applyAlignment="1">
      <alignment horizontal="right"/>
    </xf>
    <xf numFmtId="166" fontId="51" fillId="0" borderId="18" xfId="2" applyNumberFormat="1" applyFont="1" applyBorder="1" applyAlignment="1"/>
    <xf numFmtId="166" fontId="31" fillId="0" borderId="0" xfId="2" applyNumberFormat="1" applyFont="1" applyFill="1" applyAlignment="1">
      <alignment horizontal="left"/>
    </xf>
    <xf numFmtId="174" fontId="46" fillId="0" borderId="17" xfId="2" applyNumberFormat="1" applyFont="1" applyBorder="1" applyAlignment="1"/>
    <xf numFmtId="174" fontId="52" fillId="0" borderId="0" xfId="2" applyNumberFormat="1" applyFont="1" applyAlignment="1">
      <alignment horizontal="right"/>
    </xf>
    <xf numFmtId="174" fontId="52" fillId="0" borderId="18" xfId="2" applyNumberFormat="1" applyFont="1" applyBorder="1" applyAlignment="1"/>
    <xf numFmtId="166" fontId="33" fillId="0" borderId="0" xfId="2" applyNumberFormat="1" applyFont="1" applyFill="1" applyAlignment="1"/>
    <xf numFmtId="43" fontId="29" fillId="0" borderId="0" xfId="5" applyFont="1" applyFill="1" applyBorder="1" applyAlignment="1">
      <alignment horizontal="right"/>
    </xf>
    <xf numFmtId="43" fontId="30" fillId="0" borderId="0" xfId="5" applyFont="1" applyFill="1" applyBorder="1" applyAlignment="1">
      <alignment horizontal="right"/>
    </xf>
    <xf numFmtId="39" fontId="30" fillId="0" borderId="0" xfId="4" applyNumberFormat="1" applyFont="1" applyFill="1" applyBorder="1"/>
    <xf numFmtId="39" fontId="44" fillId="0" borderId="0" xfId="4" applyNumberFormat="1" applyFont="1" applyFill="1" applyBorder="1"/>
    <xf numFmtId="7" fontId="30" fillId="0" borderId="0" xfId="4" applyNumberFormat="1" applyFont="1" applyFill="1" applyBorder="1"/>
    <xf numFmtId="0" fontId="69" fillId="0" borderId="0" xfId="8" applyFont="1" applyAlignment="1"/>
    <xf numFmtId="0" fontId="132" fillId="0" borderId="0" xfId="8" applyFont="1" applyAlignment="1"/>
    <xf numFmtId="0" fontId="104" fillId="0" borderId="0" xfId="8" applyFont="1" applyAlignment="1"/>
    <xf numFmtId="0" fontId="36" fillId="0" borderId="0" xfId="8" applyFont="1" applyAlignment="1"/>
    <xf numFmtId="0" fontId="36" fillId="0" borderId="0" xfId="8" applyFont="1"/>
    <xf numFmtId="0" fontId="36" fillId="0" borderId="0" xfId="8" applyFont="1" applyAlignment="1">
      <alignment horizontal="left"/>
    </xf>
    <xf numFmtId="0" fontId="36" fillId="0" borderId="0" xfId="8" applyFont="1" applyAlignment="1">
      <alignment horizontal="right" indent="15"/>
    </xf>
    <xf numFmtId="0" fontId="104" fillId="0" borderId="0" xfId="8" applyFont="1" applyAlignment="1">
      <alignment horizontal="right"/>
    </xf>
    <xf numFmtId="0" fontId="30" fillId="0" borderId="0" xfId="8" applyFont="1" applyAlignment="1">
      <alignment horizontal="center"/>
    </xf>
    <xf numFmtId="0" fontId="29" fillId="0" borderId="0" xfId="8" applyFont="1" applyAlignment="1">
      <alignment horizontal="center"/>
    </xf>
    <xf numFmtId="0" fontId="36" fillId="0" borderId="0" xfId="8" applyFont="1" applyAlignment="1">
      <alignment horizontal="center"/>
    </xf>
    <xf numFmtId="0" fontId="36" fillId="0" borderId="0" xfId="8" applyFont="1" applyAlignment="1">
      <alignment horizontal="right"/>
    </xf>
    <xf numFmtId="0" fontId="133" fillId="0" borderId="0" xfId="8" applyFont="1" applyAlignment="1">
      <alignment horizontal="left"/>
    </xf>
    <xf numFmtId="0" fontId="133" fillId="0" borderId="0" xfId="8" applyFont="1"/>
    <xf numFmtId="0" fontId="104" fillId="0" borderId="0" xfId="8" quotePrefix="1" applyFont="1" applyAlignment="1">
      <alignment horizontal="right"/>
    </xf>
    <xf numFmtId="166" fontId="36" fillId="0" borderId="0" xfId="8" quotePrefix="1" applyNumberFormat="1" applyFont="1" applyAlignment="1">
      <alignment horizontal="right"/>
    </xf>
    <xf numFmtId="0" fontId="133" fillId="0" borderId="0" xfId="8" applyFont="1" applyAlignment="1"/>
    <xf numFmtId="192" fontId="36" fillId="0" borderId="0" xfId="8" quotePrefix="1" applyNumberFormat="1" applyFont="1" applyAlignment="1">
      <alignment horizontal="right"/>
    </xf>
    <xf numFmtId="0" fontId="36" fillId="0" borderId="0" xfId="8" quotePrefix="1" applyFont="1" applyAlignment="1">
      <alignment horizontal="right"/>
    </xf>
    <xf numFmtId="165" fontId="36" fillId="0" borderId="0" xfId="8" quotePrefix="1" applyNumberFormat="1" applyFont="1" applyAlignment="1">
      <alignment horizontal="right"/>
    </xf>
    <xf numFmtId="166" fontId="36" fillId="0" borderId="0" xfId="8" applyNumberFormat="1" applyFont="1" applyAlignment="1">
      <alignment horizontal="right"/>
    </xf>
    <xf numFmtId="165" fontId="36" fillId="0" borderId="0" xfId="8" applyNumberFormat="1" applyFont="1" applyAlignment="1">
      <alignment horizontal="right"/>
    </xf>
    <xf numFmtId="0" fontId="36" fillId="0" borderId="0" xfId="8" quotePrefix="1" applyFont="1" applyAlignment="1"/>
    <xf numFmtId="0" fontId="132" fillId="0" borderId="0" xfId="8" applyFont="1" applyAlignment="1">
      <alignment horizontal="left"/>
    </xf>
    <xf numFmtId="169" fontId="36" fillId="0" borderId="0" xfId="8" quotePrefix="1" applyNumberFormat="1" applyFont="1" applyAlignment="1">
      <alignment horizontal="right"/>
    </xf>
    <xf numFmtId="0" fontId="134" fillId="0" borderId="0" xfId="8" applyFont="1"/>
    <xf numFmtId="0" fontId="104" fillId="0" borderId="0" xfId="8" applyFont="1" applyAlignment="1">
      <alignment horizontal="center"/>
    </xf>
    <xf numFmtId="189" fontId="36" fillId="0" borderId="0" xfId="8" quotePrefix="1" applyNumberFormat="1" applyFont="1"/>
    <xf numFmtId="3" fontId="36" fillId="0" borderId="0" xfId="8" quotePrefix="1" applyNumberFormat="1" applyFont="1"/>
    <xf numFmtId="0" fontId="36" fillId="0" borderId="0" xfId="8" applyFont="1" applyFill="1" applyAlignment="1"/>
    <xf numFmtId="189" fontId="36" fillId="0" borderId="0" xfId="8" quotePrefix="1" applyNumberFormat="1" applyFont="1" applyAlignment="1">
      <alignment horizontal="right"/>
    </xf>
    <xf numFmtId="3" fontId="36" fillId="0" borderId="0" xfId="8" quotePrefix="1" applyNumberFormat="1" applyFont="1" applyAlignment="1">
      <alignment horizontal="right"/>
    </xf>
    <xf numFmtId="0" fontId="104" fillId="0" borderId="0" xfId="8" applyFont="1" applyBorder="1" applyAlignment="1">
      <alignment horizontal="center"/>
    </xf>
    <xf numFmtId="0" fontId="132" fillId="0" borderId="0" xfId="8" applyFont="1"/>
    <xf numFmtId="3" fontId="36" fillId="0" borderId="0" xfId="8" quotePrefix="1" applyNumberFormat="1" applyFont="1" applyAlignment="1">
      <alignment horizontal="center"/>
    </xf>
    <xf numFmtId="0" fontId="36" fillId="0" borderId="0" xfId="8" applyFont="1" applyFill="1"/>
    <xf numFmtId="174" fontId="36" fillId="0" borderId="0" xfId="8" applyNumberFormat="1" applyFont="1" applyFill="1" applyAlignment="1"/>
    <xf numFmtId="170" fontId="36" fillId="0" borderId="0" xfId="8" applyNumberFormat="1" applyFont="1" applyFill="1" applyAlignment="1"/>
    <xf numFmtId="189" fontId="36" fillId="0" borderId="0" xfId="8" applyNumberFormat="1" applyFont="1" applyAlignment="1"/>
    <xf numFmtId="3" fontId="36" fillId="0" borderId="0" xfId="8" applyNumberFormat="1" applyFont="1"/>
    <xf numFmtId="170" fontId="133" fillId="0" borderId="0" xfId="8" applyNumberFormat="1" applyFont="1"/>
    <xf numFmtId="189" fontId="36" fillId="0" borderId="0" xfId="8" applyNumberFormat="1" applyFont="1" applyBorder="1"/>
    <xf numFmtId="0" fontId="36" fillId="0" borderId="0" xfId="8" quotePrefix="1" applyFont="1" applyAlignment="1">
      <alignment horizontal="left"/>
    </xf>
    <xf numFmtId="3" fontId="36" fillId="0" borderId="0" xfId="8" quotePrefix="1" applyNumberFormat="1" applyFont="1" applyBorder="1" applyAlignment="1">
      <alignment horizontal="center"/>
    </xf>
    <xf numFmtId="0" fontId="132" fillId="0" borderId="0" xfId="8" applyFont="1" applyAlignment="1">
      <alignment horizontal="center"/>
    </xf>
    <xf numFmtId="1" fontId="104" fillId="0" borderId="0" xfId="8" quotePrefix="1" applyNumberFormat="1" applyFont="1" applyAlignment="1">
      <alignment horizontal="right"/>
    </xf>
    <xf numFmtId="0" fontId="36" fillId="0" borderId="0" xfId="8" applyFont="1" applyBorder="1"/>
    <xf numFmtId="0" fontId="36" fillId="0" borderId="0" xfId="8" applyFont="1" applyFill="1" applyBorder="1" applyAlignment="1"/>
    <xf numFmtId="0" fontId="36" fillId="0" borderId="0" xfId="8" applyFont="1" applyFill="1" applyBorder="1"/>
    <xf numFmtId="0" fontId="133" fillId="0" borderId="0" xfId="8" applyFont="1" applyBorder="1"/>
    <xf numFmtId="192" fontId="36" fillId="0" borderId="0" xfId="8" applyNumberFormat="1" applyFont="1" applyBorder="1"/>
    <xf numFmtId="6" fontId="36" fillId="0" borderId="0" xfId="8" applyNumberFormat="1" applyFont="1" applyAlignment="1"/>
    <xf numFmtId="176" fontId="36" fillId="0" borderId="0" xfId="8" quotePrefix="1" applyNumberFormat="1" applyFont="1" applyAlignment="1">
      <alignment horizontal="right"/>
    </xf>
    <xf numFmtId="193" fontId="36" fillId="0" borderId="0" xfId="8" applyNumberFormat="1" applyFont="1"/>
    <xf numFmtId="176" fontId="36" fillId="0" borderId="0" xfId="8" quotePrefix="1" applyNumberFormat="1" applyFont="1" applyBorder="1" applyAlignment="1"/>
    <xf numFmtId="0" fontId="30" fillId="0" borderId="0" xfId="860" applyNumberFormat="1" applyFont="1" applyAlignment="1">
      <alignment horizontal="centerContinuous"/>
    </xf>
    <xf numFmtId="37" fontId="30" fillId="0" borderId="0" xfId="860" applyNumberFormat="1" applyFont="1" applyAlignment="1">
      <alignment horizontal="centerContinuous"/>
    </xf>
    <xf numFmtId="0" fontId="30" fillId="0" borderId="0" xfId="860" applyNumberFormat="1" applyFont="1" applyAlignment="1"/>
    <xf numFmtId="0" fontId="29" fillId="0" borderId="0" xfId="860" applyNumberFormat="1" applyFont="1" applyAlignment="1">
      <alignment horizontal="centerContinuous"/>
    </xf>
    <xf numFmtId="37" fontId="54" fillId="0" borderId="0" xfId="860" applyNumberFormat="1" applyFont="1" applyAlignment="1">
      <alignment horizontal="centerContinuous"/>
    </xf>
    <xf numFmtId="0" fontId="29" fillId="0" borderId="0" xfId="860" applyNumberFormat="1" applyFont="1" applyAlignment="1"/>
    <xf numFmtId="0" fontId="30" fillId="0" borderId="71" xfId="860" applyNumberFormat="1" applyFont="1" applyBorder="1" applyAlignment="1">
      <alignment horizontal="centerContinuous"/>
    </xf>
    <xf numFmtId="0" fontId="29" fillId="0" borderId="36" xfId="860" applyNumberFormat="1" applyFont="1" applyBorder="1" applyAlignment="1">
      <alignment horizontal="centerContinuous"/>
    </xf>
    <xf numFmtId="37" fontId="54" fillId="0" borderId="72" xfId="860" applyNumberFormat="1" applyFont="1" applyBorder="1" applyAlignment="1"/>
    <xf numFmtId="187" fontId="30" fillId="0" borderId="72" xfId="860" quotePrefix="1" applyNumberFormat="1" applyFont="1" applyBorder="1" applyAlignment="1">
      <alignment horizontal="centerContinuous"/>
    </xf>
    <xf numFmtId="0" fontId="30" fillId="0" borderId="36" xfId="860" applyNumberFormat="1" applyFont="1" applyBorder="1" applyAlignment="1"/>
    <xf numFmtId="0" fontId="29" fillId="0" borderId="36" xfId="860" applyNumberFormat="1" applyFont="1" applyBorder="1"/>
    <xf numFmtId="37" fontId="54" fillId="0" borderId="0" xfId="860" applyNumberFormat="1" applyFont="1" applyAlignment="1"/>
    <xf numFmtId="37" fontId="29" fillId="0" borderId="0" xfId="860" applyNumberFormat="1" applyFont="1" applyAlignment="1"/>
    <xf numFmtId="37" fontId="27" fillId="0" borderId="0" xfId="860" applyNumberFormat="1" applyFont="1" applyAlignment="1"/>
    <xf numFmtId="0" fontId="29" fillId="0" borderId="69" xfId="860" applyNumberFormat="1" applyFont="1" applyBorder="1" applyAlignment="1"/>
    <xf numFmtId="0" fontId="135" fillId="0" borderId="0" xfId="860" applyNumberFormat="1" applyFont="1" applyAlignment="1"/>
    <xf numFmtId="37" fontId="29" fillId="0" borderId="0" xfId="860" applyNumberFormat="1" applyFont="1" applyAlignment="1">
      <alignment horizontal="left"/>
    </xf>
    <xf numFmtId="0" fontId="29" fillId="0" borderId="16" xfId="860" applyNumberFormat="1" applyFont="1" applyBorder="1" applyAlignment="1"/>
    <xf numFmtId="0" fontId="135" fillId="0" borderId="16" xfId="860" applyNumberFormat="1" applyFont="1" applyBorder="1" applyAlignment="1"/>
    <xf numFmtId="0" fontId="27" fillId="0" borderId="0" xfId="860" applyNumberFormat="1" applyFont="1" applyAlignment="1"/>
    <xf numFmtId="0" fontId="98" fillId="0" borderId="0" xfId="860" applyNumberFormat="1" applyFont="1" applyAlignment="1"/>
    <xf numFmtId="0" fontId="29" fillId="0" borderId="20" xfId="860" applyNumberFormat="1" applyFont="1" applyBorder="1" applyAlignment="1"/>
    <xf numFmtId="0" fontId="29" fillId="0" borderId="40" xfId="860" applyNumberFormat="1" applyFont="1" applyBorder="1" applyAlignment="1"/>
    <xf numFmtId="165" fontId="29" fillId="0" borderId="0" xfId="860" applyNumberFormat="1" applyFont="1" applyAlignment="1">
      <alignment horizontal="left"/>
    </xf>
    <xf numFmtId="0" fontId="29" fillId="0" borderId="0" xfId="860" applyNumberFormat="1" applyFont="1" applyBorder="1" applyAlignment="1"/>
    <xf numFmtId="0" fontId="30" fillId="0" borderId="0" xfId="860" applyNumberFormat="1" applyFont="1" applyBorder="1" applyAlignment="1"/>
    <xf numFmtId="0" fontId="136" fillId="0" borderId="0" xfId="860" applyFont="1" applyBorder="1" applyAlignment="1">
      <alignment vertical="top" wrapText="1"/>
    </xf>
    <xf numFmtId="0" fontId="29" fillId="0" borderId="16" xfId="860" applyNumberFormat="1" applyFont="1" applyBorder="1" applyAlignment="1">
      <alignment horizontal="left"/>
    </xf>
    <xf numFmtId="0" fontId="71" fillId="0" borderId="0" xfId="860" applyNumberFormat="1" applyFont="1" applyAlignment="1"/>
    <xf numFmtId="0" fontId="135" fillId="0" borderId="0" xfId="860" applyNumberFormat="1" applyFont="1" applyBorder="1" applyAlignment="1"/>
    <xf numFmtId="0" fontId="71" fillId="0" borderId="0" xfId="860" applyNumberFormat="1" applyFont="1" applyBorder="1" applyAlignment="1"/>
    <xf numFmtId="0" fontId="29" fillId="0" borderId="0" xfId="860" applyNumberFormat="1" applyFont="1" applyAlignment="1">
      <alignment horizontal="left"/>
    </xf>
    <xf numFmtId="0" fontId="29" fillId="0" borderId="0" xfId="860" applyNumberFormat="1" applyFont="1" applyBorder="1" applyAlignment="1">
      <alignment horizontal="left"/>
    </xf>
    <xf numFmtId="166" fontId="24" fillId="0" borderId="0" xfId="0" applyNumberFormat="1" applyFont="1" applyBorder="1" applyAlignment="1"/>
    <xf numFmtId="174" fontId="24" fillId="0" borderId="0" xfId="0" applyNumberFormat="1" applyFont="1" applyAlignment="1">
      <alignment horizontal="right"/>
    </xf>
    <xf numFmtId="170" fontId="24" fillId="0" borderId="0" xfId="0" applyNumberFormat="1" applyFont="1" applyAlignment="1"/>
    <xf numFmtId="170" fontId="24" fillId="0" borderId="0" xfId="0" applyNumberFormat="1" applyFont="1" applyBorder="1" applyAlignment="1"/>
    <xf numFmtId="170" fontId="24" fillId="0" borderId="0" xfId="0" quotePrefix="1" applyNumberFormat="1" applyFont="1" applyAlignment="1">
      <alignment horizontal="center"/>
    </xf>
    <xf numFmtId="170" fontId="24" fillId="0" borderId="0" xfId="0" applyNumberFormat="1" applyFont="1" applyAlignment="1">
      <alignment horizontal="center"/>
    </xf>
    <xf numFmtId="170" fontId="24" fillId="0" borderId="0" xfId="0" applyNumberFormat="1" applyFont="1" applyFill="1" applyBorder="1" applyAlignment="1"/>
    <xf numFmtId="170" fontId="24" fillId="0" borderId="0" xfId="0" applyNumberFormat="1" applyFont="1" applyFill="1" applyAlignment="1"/>
    <xf numFmtId="166" fontId="24" fillId="0" borderId="0" xfId="0" applyNumberFormat="1" applyFont="1" applyFill="1" applyBorder="1" applyAlignment="1"/>
    <xf numFmtId="165" fontId="24" fillId="0" borderId="0" xfId="0" applyNumberFormat="1" applyFont="1" applyBorder="1" applyAlignment="1"/>
    <xf numFmtId="166" fontId="24" fillId="0" borderId="0" xfId="0" quotePrefix="1" applyNumberFormat="1" applyFont="1" applyBorder="1" applyAlignment="1">
      <alignment horizontal="left"/>
    </xf>
    <xf numFmtId="174" fontId="24" fillId="0" borderId="0" xfId="0" applyNumberFormat="1" applyFont="1" applyAlignment="1"/>
    <xf numFmtId="170" fontId="24" fillId="0" borderId="0" xfId="0" quotePrefix="1" applyNumberFormat="1" applyFont="1" applyAlignment="1">
      <alignment horizontal="right"/>
    </xf>
    <xf numFmtId="170" fontId="24" fillId="0" borderId="0" xfId="0" applyNumberFormat="1" applyFont="1" applyBorder="1" applyAlignment="1">
      <alignment horizontal="center"/>
    </xf>
    <xf numFmtId="170" fontId="24" fillId="0" borderId="0" xfId="0" applyNumberFormat="1" applyFont="1" applyAlignment="1">
      <alignment horizontal="right"/>
    </xf>
    <xf numFmtId="170" fontId="47" fillId="0" borderId="69" xfId="2" applyNumberFormat="1" applyFont="1" applyBorder="1" applyAlignment="1">
      <alignment horizontal="center"/>
    </xf>
    <xf numFmtId="170" fontId="0" fillId="0" borderId="0" xfId="2" applyNumberFormat="1" applyFont="1" applyAlignment="1">
      <alignment horizontal="center" vertical="top"/>
    </xf>
    <xf numFmtId="166" fontId="24" fillId="0" borderId="0" xfId="0" applyNumberFormat="1" applyFont="1" applyBorder="1" applyAlignment="1" applyProtection="1">
      <protection locked="0"/>
    </xf>
    <xf numFmtId="166" fontId="24" fillId="0" borderId="0" xfId="0" applyNumberFormat="1" applyFont="1" applyAlignment="1" applyProtection="1">
      <protection locked="0"/>
    </xf>
    <xf numFmtId="166" fontId="24" fillId="0" borderId="0" xfId="0" applyNumberFormat="1" applyFont="1" applyBorder="1" applyAlignment="1" applyProtection="1"/>
    <xf numFmtId="170" fontId="24" fillId="0" borderId="0" xfId="0" applyNumberFormat="1" applyFont="1" applyAlignment="1" applyProtection="1">
      <alignment horizontal="right"/>
      <protection locked="0"/>
    </xf>
    <xf numFmtId="170" fontId="24" fillId="0" borderId="0" xfId="0" applyNumberFormat="1" applyFont="1" applyAlignment="1" applyProtection="1">
      <protection locked="0"/>
    </xf>
    <xf numFmtId="170" fontId="24" fillId="0" borderId="0" xfId="0" applyNumberFormat="1" applyFont="1" applyAlignment="1" applyProtection="1"/>
    <xf numFmtId="170" fontId="24" fillId="0" borderId="0" xfId="0" applyNumberFormat="1" applyFont="1" applyBorder="1" applyAlignment="1" applyProtection="1">
      <protection locked="0"/>
    </xf>
    <xf numFmtId="170" fontId="24" fillId="0" borderId="0" xfId="0" applyNumberFormat="1" applyFont="1" applyBorder="1" applyAlignment="1" applyProtection="1"/>
    <xf numFmtId="170" fontId="24" fillId="0" borderId="0" xfId="0" quotePrefix="1" applyNumberFormat="1" applyFont="1" applyAlignment="1" applyProtection="1">
      <alignment horizontal="center"/>
      <protection locked="0"/>
    </xf>
    <xf numFmtId="170" fontId="24" fillId="0" borderId="0" xfId="0" quotePrefix="1" applyNumberFormat="1" applyFont="1" applyAlignment="1" applyProtection="1">
      <alignment horizontal="center"/>
    </xf>
    <xf numFmtId="170" fontId="24" fillId="0" borderId="0" xfId="0" quotePrefix="1" applyNumberFormat="1" applyFont="1" applyBorder="1" applyAlignment="1" applyProtection="1">
      <alignment horizontal="center"/>
      <protection locked="0"/>
    </xf>
    <xf numFmtId="170" fontId="24" fillId="0" borderId="0" xfId="0" applyNumberFormat="1" applyFont="1" applyAlignment="1" applyProtection="1">
      <alignment horizontal="center"/>
    </xf>
    <xf numFmtId="170" fontId="24" fillId="0" borderId="10" xfId="0" applyNumberFormat="1" applyFont="1" applyBorder="1" applyAlignment="1" applyProtection="1"/>
    <xf numFmtId="170" fontId="24" fillId="0" borderId="0" xfId="0" applyNumberFormat="1" applyFont="1" applyFill="1" applyBorder="1" applyAlignment="1" applyProtection="1">
      <protection locked="0"/>
    </xf>
    <xf numFmtId="170" fontId="24" fillId="0" borderId="0" xfId="0" applyNumberFormat="1" applyFont="1" applyFill="1" applyAlignment="1" applyProtection="1">
      <protection locked="0"/>
    </xf>
    <xf numFmtId="170" fontId="24" fillId="0" borderId="0" xfId="0" applyNumberFormat="1" applyFont="1" applyFill="1" applyAlignment="1" applyProtection="1"/>
    <xf numFmtId="37" fontId="24" fillId="0" borderId="0" xfId="2" applyNumberFormat="1" applyFont="1" applyBorder="1"/>
    <xf numFmtId="49" fontId="24" fillId="0" borderId="0" xfId="17" applyNumberFormat="1" applyFont="1" applyBorder="1" applyAlignment="1">
      <alignment horizontal="center"/>
    </xf>
    <xf numFmtId="0" fontId="54" fillId="0" borderId="0" xfId="0" applyNumberFormat="1" applyFont="1" applyFill="1"/>
    <xf numFmtId="0" fontId="29" fillId="0" borderId="0" xfId="0" applyNumberFormat="1" applyFont="1" applyFill="1"/>
    <xf numFmtId="0" fontId="29" fillId="0" borderId="0" xfId="0" applyNumberFormat="1" applyFont="1" applyFill="1" applyAlignment="1">
      <alignment horizontal="right"/>
    </xf>
    <xf numFmtId="0" fontId="54" fillId="0" borderId="0" xfId="0" quotePrefix="1" applyNumberFormat="1" applyFont="1" applyFill="1" applyAlignment="1">
      <alignment horizontal="left"/>
    </xf>
    <xf numFmtId="0" fontId="29" fillId="0" borderId="0" xfId="0" applyNumberFormat="1" applyFont="1" applyFill="1" applyAlignment="1">
      <alignment horizontal="center"/>
    </xf>
    <xf numFmtId="0" fontId="30" fillId="0" borderId="69" xfId="0" applyNumberFormat="1" applyFont="1" applyFill="1" applyBorder="1" applyAlignment="1">
      <alignment horizontal="center"/>
    </xf>
    <xf numFmtId="0" fontId="29" fillId="0" borderId="50" xfId="0" applyNumberFormat="1" applyFont="1" applyFill="1" applyBorder="1"/>
    <xf numFmtId="0" fontId="30" fillId="0" borderId="69" xfId="0" applyNumberFormat="1" applyFont="1" applyFill="1" applyBorder="1" applyAlignment="1">
      <alignment horizontal="centerContinuous"/>
    </xf>
    <xf numFmtId="0" fontId="30" fillId="0" borderId="0" xfId="0" applyNumberFormat="1" applyFont="1" applyFill="1" applyAlignment="1">
      <alignment horizontal="center"/>
    </xf>
    <xf numFmtId="0" fontId="29" fillId="0" borderId="14" xfId="0" applyNumberFormat="1" applyFont="1" applyFill="1" applyBorder="1"/>
    <xf numFmtId="0" fontId="30" fillId="0" borderId="0" xfId="0" quotePrefix="1" applyNumberFormat="1" applyFont="1" applyFill="1" applyAlignment="1">
      <alignment horizontal="center"/>
    </xf>
    <xf numFmtId="0" fontId="30" fillId="0" borderId="69" xfId="0" quotePrefix="1" applyNumberFormat="1" applyFont="1" applyFill="1" applyBorder="1" applyAlignment="1">
      <alignment horizontal="center"/>
    </xf>
    <xf numFmtId="187" fontId="30" fillId="0" borderId="69" xfId="0" quotePrefix="1" applyNumberFormat="1" applyFont="1" applyFill="1" applyBorder="1" applyAlignment="1">
      <alignment horizontal="center"/>
    </xf>
    <xf numFmtId="187" fontId="30" fillId="0" borderId="69" xfId="0" applyNumberFormat="1" applyFont="1" applyFill="1" applyBorder="1" applyAlignment="1">
      <alignment horizontal="center"/>
    </xf>
    <xf numFmtId="4" fontId="29" fillId="0" borderId="0" xfId="0" applyNumberFormat="1" applyFont="1" applyFill="1" applyAlignment="1">
      <alignment horizontal="right"/>
    </xf>
    <xf numFmtId="0" fontId="30" fillId="0" borderId="0" xfId="0" applyNumberFormat="1" applyFont="1" applyFill="1"/>
    <xf numFmtId="7" fontId="29" fillId="0" borderId="0" xfId="0" applyNumberFormat="1" applyFont="1" applyFill="1"/>
    <xf numFmtId="44" fontId="29" fillId="0" borderId="0" xfId="0" applyNumberFormat="1" applyFont="1" applyFill="1" applyAlignment="1"/>
    <xf numFmtId="39" fontId="29" fillId="0" borderId="0" xfId="0" applyNumberFormat="1" applyFont="1" applyFill="1"/>
    <xf numFmtId="39" fontId="29" fillId="0" borderId="0" xfId="0" applyNumberFormat="1" applyFont="1" applyFill="1" applyAlignment="1">
      <alignment horizontal="center"/>
    </xf>
    <xf numFmtId="39" fontId="29" fillId="0" borderId="0" xfId="0" applyNumberFormat="1" applyFont="1" applyFill="1" applyAlignment="1">
      <alignment horizontal="right"/>
    </xf>
    <xf numFmtId="43" fontId="29" fillId="0" borderId="0" xfId="0" applyNumberFormat="1" applyFont="1" applyFill="1" applyAlignment="1">
      <alignment horizontal="right"/>
    </xf>
    <xf numFmtId="43" fontId="29" fillId="0" borderId="0" xfId="0" quotePrefix="1" applyNumberFormat="1" applyFont="1" applyFill="1" applyAlignment="1">
      <alignment horizontal="right"/>
    </xf>
    <xf numFmtId="39" fontId="29" fillId="0" borderId="0" xfId="0" quotePrefix="1" applyNumberFormat="1" applyFont="1" applyFill="1" applyAlignment="1">
      <alignment horizontal="right"/>
    </xf>
    <xf numFmtId="43" fontId="29" fillId="0" borderId="0" xfId="0" applyNumberFormat="1" applyFont="1" applyFill="1" applyAlignment="1">
      <alignment horizontal="center"/>
    </xf>
    <xf numFmtId="4" fontId="29" fillId="0" borderId="0" xfId="0" applyNumberFormat="1" applyFont="1" applyFill="1"/>
    <xf numFmtId="0" fontId="30" fillId="0" borderId="0" xfId="0" applyNumberFormat="1" applyFont="1" applyFill="1" applyAlignment="1">
      <alignment horizontal="right"/>
    </xf>
    <xf numFmtId="44" fontId="30" fillId="0" borderId="35" xfId="0" applyNumberFormat="1" applyFont="1" applyFill="1" applyBorder="1" applyAlignment="1">
      <alignment horizontal="right"/>
    </xf>
    <xf numFmtId="0" fontId="30" fillId="0" borderId="0" xfId="0" applyNumberFormat="1" applyFont="1" applyFill="1" applyBorder="1"/>
    <xf numFmtId="39" fontId="30" fillId="0" borderId="0" xfId="0" applyNumberFormat="1" applyFont="1" applyFill="1" applyBorder="1"/>
    <xf numFmtId="0" fontId="29" fillId="0" borderId="0" xfId="0" applyNumberFormat="1" applyFont="1" applyFill="1" applyBorder="1"/>
    <xf numFmtId="39" fontId="29" fillId="0" borderId="0" xfId="0" quotePrefix="1" applyNumberFormat="1" applyFont="1" applyFill="1" applyAlignment="1">
      <alignment horizontal="center"/>
    </xf>
    <xf numFmtId="39" fontId="30" fillId="0" borderId="0" xfId="0" applyNumberFormat="1" applyFont="1" applyFill="1" applyBorder="1" applyAlignment="1">
      <alignment horizontal="right"/>
    </xf>
    <xf numFmtId="0" fontId="29" fillId="0" borderId="0" xfId="0" applyNumberFormat="1" applyFont="1" applyFill="1" applyBorder="1" applyAlignment="1">
      <alignment horizontal="right"/>
    </xf>
    <xf numFmtId="188" fontId="29" fillId="0" borderId="0" xfId="0" applyNumberFormat="1" applyFont="1" applyFill="1"/>
    <xf numFmtId="0" fontId="29" fillId="0" borderId="0" xfId="0" applyNumberFormat="1" applyFont="1" applyFill="1" applyAlignment="1"/>
    <xf numFmtId="0" fontId="29" fillId="0" borderId="0" xfId="0" applyNumberFormat="1" applyFont="1" applyFill="1" applyAlignment="1">
      <alignment horizontal="left" vertical="top"/>
    </xf>
    <xf numFmtId="178" fontId="24" fillId="0" borderId="0" xfId="740" applyNumberFormat="1" applyFont="1" applyFill="1" applyAlignment="1">
      <alignment horizontal="center"/>
    </xf>
    <xf numFmtId="0" fontId="24" fillId="0" borderId="0" xfId="8" applyFont="1"/>
    <xf numFmtId="170" fontId="24" fillId="0" borderId="0" xfId="2" applyNumberFormat="1" applyFont="1" applyAlignment="1"/>
    <xf numFmtId="170" fontId="26" fillId="0" borderId="0" xfId="2" quotePrefix="1" applyNumberFormat="1" applyFont="1" applyBorder="1" applyAlignment="1" applyProtection="1">
      <alignment horizontal="center"/>
      <protection locked="0"/>
    </xf>
    <xf numFmtId="170" fontId="70" fillId="0" borderId="0" xfId="2" applyNumberFormat="1" applyFont="1" applyAlignment="1"/>
    <xf numFmtId="170" fontId="26" fillId="0" borderId="10" xfId="2" quotePrefix="1" applyNumberFormat="1" applyFont="1" applyBorder="1" applyAlignment="1" applyProtection="1">
      <alignment horizontal="center"/>
      <protection locked="0"/>
    </xf>
    <xf numFmtId="164" fontId="24" fillId="0" borderId="0" xfId="7" applyNumberFormat="1" applyFont="1" applyAlignment="1">
      <alignment horizontal="right"/>
    </xf>
    <xf numFmtId="166" fontId="127" fillId="0" borderId="0" xfId="0" applyNumberFormat="1" applyFont="1" applyAlignment="1" applyProtection="1">
      <protection locked="0"/>
    </xf>
    <xf numFmtId="166" fontId="124" fillId="0" borderId="0" xfId="0" applyNumberFormat="1" applyFont="1" applyBorder="1" applyAlignment="1" applyProtection="1">
      <protection locked="0"/>
    </xf>
    <xf numFmtId="166" fontId="137" fillId="0" borderId="0" xfId="0" applyNumberFormat="1" applyFont="1" applyBorder="1" applyAlignment="1" applyProtection="1">
      <protection locked="0"/>
    </xf>
    <xf numFmtId="165" fontId="137" fillId="0" borderId="0" xfId="0" applyNumberFormat="1" applyFont="1" applyBorder="1" applyAlignment="1" applyProtection="1">
      <protection locked="0"/>
    </xf>
    <xf numFmtId="165" fontId="137" fillId="0" borderId="0" xfId="0" applyNumberFormat="1" applyFont="1" applyAlignment="1" applyProtection="1">
      <protection locked="0"/>
    </xf>
    <xf numFmtId="166" fontId="138" fillId="0" borderId="0" xfId="0" applyNumberFormat="1" applyFont="1" applyAlignment="1" applyProtection="1">
      <protection locked="0"/>
    </xf>
    <xf numFmtId="165" fontId="139" fillId="0" borderId="0" xfId="0" applyNumberFormat="1" applyFont="1" applyBorder="1" applyAlignment="1" applyProtection="1">
      <protection locked="0"/>
    </xf>
    <xf numFmtId="165" fontId="124" fillId="0" borderId="0" xfId="0" applyNumberFormat="1" applyFont="1" applyBorder="1" applyAlignment="1" applyProtection="1">
      <protection locked="0"/>
    </xf>
    <xf numFmtId="165" fontId="24" fillId="0" borderId="0" xfId="0" applyNumberFormat="1" applyFont="1" applyAlignment="1" applyProtection="1">
      <protection locked="0"/>
    </xf>
    <xf numFmtId="166" fontId="24" fillId="0" borderId="0" xfId="0" applyNumberFormat="1" applyFont="1" applyBorder="1" applyAlignment="1" applyProtection="1">
      <alignment horizontal="center"/>
      <protection locked="0"/>
    </xf>
    <xf numFmtId="165" fontId="24" fillId="0" borderId="0" xfId="0" applyNumberFormat="1" applyFont="1" applyBorder="1" applyAlignment="1" applyProtection="1">
      <protection locked="0"/>
    </xf>
    <xf numFmtId="166" fontId="24" fillId="0" borderId="0" xfId="0" applyNumberFormat="1" applyFont="1" applyAlignment="1" applyProtection="1">
      <alignment horizontal="center"/>
      <protection locked="0"/>
    </xf>
    <xf numFmtId="166" fontId="24" fillId="0" borderId="0" xfId="0" applyNumberFormat="1" applyFont="1" applyAlignment="1"/>
    <xf numFmtId="166" fontId="138" fillId="0" borderId="0" xfId="0" applyNumberFormat="1" applyFont="1" applyAlignment="1"/>
    <xf numFmtId="165" fontId="137" fillId="0" borderId="0" xfId="0" applyNumberFormat="1" applyFont="1" applyAlignment="1"/>
    <xf numFmtId="166" fontId="137" fillId="0" borderId="0" xfId="0" applyNumberFormat="1" applyFont="1" applyBorder="1" applyAlignment="1"/>
    <xf numFmtId="165" fontId="137" fillId="0" borderId="0" xfId="0" applyNumberFormat="1" applyFont="1" applyBorder="1" applyAlignment="1"/>
    <xf numFmtId="165" fontId="139" fillId="0" borderId="0" xfId="0" applyNumberFormat="1" applyFont="1" applyBorder="1" applyAlignment="1"/>
    <xf numFmtId="165" fontId="124" fillId="0" borderId="0" xfId="0" applyNumberFormat="1" applyFont="1" applyBorder="1" applyAlignment="1"/>
    <xf numFmtId="164" fontId="24" fillId="0" borderId="0" xfId="0" applyFont="1"/>
    <xf numFmtId="164" fontId="24" fillId="0" borderId="0" xfId="0" applyFont="1" applyAlignment="1"/>
    <xf numFmtId="164" fontId="24" fillId="0" borderId="0" xfId="0" applyFont="1" applyAlignment="1">
      <alignment horizontal="center"/>
    </xf>
    <xf numFmtId="164" fontId="83" fillId="0" borderId="0" xfId="0" applyFont="1"/>
    <xf numFmtId="166" fontId="24" fillId="0" borderId="0" xfId="2" applyNumberFormat="1" applyFont="1" applyFill="1" applyBorder="1" applyAlignment="1"/>
    <xf numFmtId="0" fontId="24" fillId="0" borderId="0" xfId="17" applyNumberFormat="1" applyFont="1" applyAlignment="1">
      <alignment horizontal="left"/>
    </xf>
    <xf numFmtId="167" fontId="24" fillId="0" borderId="0" xfId="0" applyNumberFormat="1" applyFont="1" applyFill="1" applyAlignment="1" applyProtection="1">
      <protection locked="0"/>
    </xf>
    <xf numFmtId="170" fontId="24" fillId="0" borderId="0" xfId="0" quotePrefix="1" applyNumberFormat="1" applyFont="1" applyAlignment="1" applyProtection="1">
      <alignment horizontal="right"/>
      <protection locked="0"/>
    </xf>
    <xf numFmtId="164" fontId="54" fillId="0" borderId="0" xfId="0" applyFont="1"/>
    <xf numFmtId="0" fontId="140" fillId="0" borderId="0" xfId="860" applyNumberFormat="1" applyFont="1" applyAlignment="1"/>
    <xf numFmtId="37" fontId="29" fillId="35" borderId="0" xfId="860" applyNumberFormat="1" applyFont="1" applyFill="1" applyAlignment="1">
      <alignment horizontal="left"/>
    </xf>
    <xf numFmtId="0" fontId="30" fillId="35" borderId="0" xfId="860" applyNumberFormat="1" applyFont="1" applyFill="1" applyAlignment="1"/>
    <xf numFmtId="0" fontId="30" fillId="35" borderId="0" xfId="860" applyNumberFormat="1" applyFont="1" applyFill="1" applyBorder="1" applyAlignment="1"/>
    <xf numFmtId="166" fontId="142" fillId="0" borderId="10" xfId="0" applyNumberFormat="1" applyFont="1" applyBorder="1" applyAlignment="1">
      <alignment horizontal="centerContinuous"/>
    </xf>
    <xf numFmtId="174" fontId="26" fillId="0" borderId="0" xfId="0" applyNumberFormat="1" applyFont="1" applyAlignment="1" applyProtection="1"/>
    <xf numFmtId="4" fontId="30" fillId="0" borderId="0" xfId="1028" applyNumberFormat="1" applyFont="1" applyAlignment="1"/>
    <xf numFmtId="1" fontId="30" fillId="0" borderId="0" xfId="1028" applyNumberFormat="1" applyFont="1" applyAlignment="1"/>
    <xf numFmtId="0" fontId="30" fillId="0" borderId="0" xfId="1028" applyFont="1" applyAlignment="1">
      <alignment horizontal="right"/>
    </xf>
    <xf numFmtId="39" fontId="30" fillId="0" borderId="0" xfId="1028" applyNumberFormat="1" applyFont="1" applyFill="1" applyBorder="1" applyAlignment="1"/>
    <xf numFmtId="39" fontId="108" fillId="0" borderId="0" xfId="1028" applyNumberFormat="1" applyFont="1" applyFill="1" applyBorder="1" applyAlignment="1">
      <alignment horizontal="right"/>
    </xf>
    <xf numFmtId="39" fontId="108" fillId="0" borderId="0" xfId="1028" applyNumberFormat="1" applyFont="1" applyFill="1" applyBorder="1" applyAlignment="1"/>
    <xf numFmtId="39" fontId="108" fillId="0" borderId="0" xfId="1028" quotePrefix="1" applyNumberFormat="1" applyFont="1" applyFill="1" applyBorder="1" applyAlignment="1">
      <alignment horizontal="left"/>
    </xf>
    <xf numFmtId="4" fontId="54" fillId="0" borderId="0" xfId="1028" applyNumberFormat="1" applyFont="1" applyAlignment="1">
      <alignment horizontal="left" vertical="center"/>
    </xf>
    <xf numFmtId="1" fontId="31" fillId="0" borderId="52" xfId="1028" applyNumberFormat="1" applyFont="1" applyBorder="1" applyAlignment="1"/>
    <xf numFmtId="4" fontId="31" fillId="0" borderId="52" xfId="1028" applyNumberFormat="1" applyFont="1" applyBorder="1" applyAlignment="1">
      <alignment horizontal="center"/>
    </xf>
    <xf numFmtId="4" fontId="31" fillId="36" borderId="59" xfId="1028" applyNumberFormat="1" applyFont="1" applyFill="1" applyBorder="1" applyAlignment="1">
      <alignment horizontal="center"/>
    </xf>
    <xf numFmtId="1" fontId="24" fillId="0" borderId="0" xfId="1028" quotePrefix="1" applyNumberFormat="1" applyFont="1" applyAlignment="1">
      <alignment horizontal="center"/>
    </xf>
    <xf numFmtId="4" fontId="24" fillId="0" borderId="0" xfId="1028" applyNumberFormat="1" applyFont="1" applyAlignment="1">
      <alignment horizontal="left"/>
    </xf>
    <xf numFmtId="4" fontId="24" fillId="0" borderId="0" xfId="1028" quotePrefix="1" applyNumberFormat="1" applyFont="1" applyFill="1" applyBorder="1" applyAlignment="1">
      <alignment horizontal="center"/>
    </xf>
    <xf numFmtId="1" fontId="24" fillId="0" borderId="0" xfId="1028" applyNumberFormat="1" applyFont="1" applyAlignment="1">
      <alignment horizontal="center"/>
    </xf>
    <xf numFmtId="4" fontId="31" fillId="36" borderId="59" xfId="1028" quotePrefix="1" applyNumberFormat="1" applyFont="1" applyFill="1" applyBorder="1" applyAlignment="1">
      <alignment horizontal="center"/>
    </xf>
    <xf numFmtId="4" fontId="24" fillId="0" borderId="0" xfId="1028" applyNumberFormat="1" applyFont="1" applyFill="1" applyBorder="1" applyAlignment="1"/>
    <xf numFmtId="4" fontId="31" fillId="0" borderId="0" xfId="1028" quotePrefix="1" applyNumberFormat="1" applyFont="1" applyFill="1" applyBorder="1" applyAlignment="1">
      <alignment horizontal="center"/>
    </xf>
    <xf numFmtId="4" fontId="24" fillId="0" borderId="0" xfId="1028" quotePrefix="1" applyNumberFormat="1" applyFont="1" applyAlignment="1">
      <alignment horizontal="left"/>
    </xf>
    <xf numFmtId="4" fontId="24" fillId="0" borderId="0" xfId="1028" applyNumberFormat="1" applyFont="1" applyBorder="1" applyAlignment="1"/>
    <xf numFmtId="4" fontId="24" fillId="0" borderId="0" xfId="1028" quotePrefix="1" applyNumberFormat="1" applyFont="1" applyBorder="1" applyAlignment="1">
      <alignment horizontal="left"/>
    </xf>
    <xf numFmtId="4" fontId="24" fillId="0" borderId="0" xfId="1028" applyNumberFormat="1" applyFont="1" applyBorder="1" applyAlignment="1">
      <alignment horizontal="center"/>
    </xf>
    <xf numFmtId="1" fontId="24" fillId="0" borderId="0" xfId="1028" applyNumberFormat="1" applyFont="1" applyAlignment="1"/>
    <xf numFmtId="4" fontId="24" fillId="0" borderId="0" xfId="1028" applyNumberFormat="1" applyFont="1" applyBorder="1" applyAlignment="1">
      <alignment horizontal="left"/>
    </xf>
    <xf numFmtId="4" fontId="24" fillId="0" borderId="0" xfId="1028" applyNumberFormat="1" applyFont="1" applyFill="1" applyBorder="1" applyAlignment="1">
      <alignment horizontal="left"/>
    </xf>
    <xf numFmtId="0" fontId="24" fillId="0" borderId="0" xfId="1028" applyNumberFormat="1" applyFont="1" applyBorder="1" applyAlignment="1">
      <alignment horizontal="left"/>
    </xf>
    <xf numFmtId="4" fontId="24" fillId="0" borderId="0" xfId="1028" quotePrefix="1" applyNumberFormat="1" applyFont="1" applyFill="1" applyBorder="1" applyAlignment="1">
      <alignment horizontal="left"/>
    </xf>
    <xf numFmtId="37" fontId="31" fillId="0" borderId="0" xfId="1028" quotePrefix="1" applyNumberFormat="1" applyFont="1" applyFill="1" applyBorder="1" applyAlignment="1">
      <alignment horizontal="center"/>
    </xf>
    <xf numFmtId="4" fontId="24" fillId="0" borderId="0" xfId="1028" applyNumberFormat="1" applyFont="1" applyFill="1" applyBorder="1" applyAlignment="1">
      <alignment horizontal="center"/>
    </xf>
    <xf numFmtId="1" fontId="24" fillId="0" borderId="0" xfId="1028" applyNumberFormat="1" applyFont="1" applyFill="1" applyAlignment="1">
      <alignment horizontal="center"/>
    </xf>
    <xf numFmtId="4" fontId="31" fillId="36" borderId="60" xfId="1028" applyNumberFormat="1" applyFont="1" applyFill="1" applyBorder="1" applyAlignment="1">
      <alignment horizontal="left"/>
    </xf>
    <xf numFmtId="4" fontId="31" fillId="0" borderId="0" xfId="1028" quotePrefix="1" applyNumberFormat="1" applyFont="1" applyAlignment="1">
      <alignment horizontal="left"/>
    </xf>
    <xf numFmtId="4" fontId="31" fillId="0" borderId="0" xfId="1028" applyNumberFormat="1" applyFont="1" applyAlignment="1">
      <alignment horizontal="left"/>
    </xf>
    <xf numFmtId="7" fontId="31" fillId="0" borderId="0" xfId="1028" applyNumberFormat="1" applyFont="1" applyBorder="1" applyAlignment="1" applyProtection="1">
      <alignment horizontal="right"/>
      <protection locked="0"/>
    </xf>
    <xf numFmtId="37" fontId="31" fillId="0" borderId="0" xfId="1028" quotePrefix="1" applyNumberFormat="1" applyFont="1" applyFill="1" applyBorder="1" applyAlignment="1">
      <alignment horizontal="right"/>
    </xf>
    <xf numFmtId="39" fontId="24" fillId="0" borderId="0" xfId="1028" applyNumberFormat="1" applyFont="1" applyFill="1" applyAlignment="1"/>
    <xf numFmtId="43" fontId="31" fillId="0" borderId="0" xfId="1028" applyNumberFormat="1" applyFont="1" applyBorder="1" applyAlignment="1">
      <alignment horizontal="right"/>
    </xf>
    <xf numFmtId="4" fontId="31" fillId="0" borderId="0" xfId="1028" applyNumberFormat="1" applyFont="1" applyFill="1" applyBorder="1" applyAlignment="1">
      <alignment horizontal="center"/>
    </xf>
    <xf numFmtId="1" fontId="24" fillId="0" borderId="0" xfId="1028" quotePrefix="1" applyNumberFormat="1" applyFont="1" applyFill="1" applyAlignment="1">
      <alignment horizontal="center"/>
    </xf>
    <xf numFmtId="174" fontId="24" fillId="0" borderId="0" xfId="1" applyNumberFormat="1" applyFont="1" applyAlignment="1"/>
    <xf numFmtId="170" fontId="24" fillId="0" borderId="0" xfId="1" applyNumberFormat="1" applyFont="1" applyAlignment="1">
      <alignment horizontal="right"/>
    </xf>
    <xf numFmtId="37" fontId="24" fillId="0" borderId="0" xfId="2" applyNumberFormat="1" applyFont="1" applyAlignment="1"/>
    <xf numFmtId="174" fontId="24" fillId="0" borderId="0" xfId="2" applyNumberFormat="1" applyFont="1" applyAlignment="1"/>
    <xf numFmtId="170" fontId="24" fillId="0" borderId="0" xfId="2" quotePrefix="1" applyNumberFormat="1" applyFont="1" applyAlignment="1">
      <alignment horizontal="center"/>
    </xf>
    <xf numFmtId="174" fontId="24" fillId="0" borderId="0" xfId="2" applyNumberFormat="1" applyFont="1" applyAlignment="1">
      <alignment horizontal="right"/>
    </xf>
    <xf numFmtId="174" fontId="24" fillId="0" borderId="0" xfId="2" quotePrefix="1" applyNumberFormat="1" applyFont="1" applyAlignment="1">
      <alignment horizontal="center"/>
    </xf>
    <xf numFmtId="0" fontId="85" fillId="0" borderId="0" xfId="8" applyFont="1"/>
    <xf numFmtId="0" fontId="24" fillId="0" borderId="0" xfId="8" applyFont="1" applyAlignment="1"/>
    <xf numFmtId="188" fontId="85" fillId="0" borderId="0" xfId="8" applyNumberFormat="1" applyFont="1"/>
    <xf numFmtId="170" fontId="24" fillId="0" borderId="0" xfId="8" applyNumberFormat="1" applyFont="1"/>
    <xf numFmtId="174" fontId="24" fillId="0" borderId="0" xfId="8" applyNumberFormat="1" applyFont="1"/>
    <xf numFmtId="0" fontId="85" fillId="0" borderId="0" xfId="8" applyFont="1" applyBorder="1"/>
    <xf numFmtId="0" fontId="24" fillId="0" borderId="0" xfId="8" applyFont="1" applyBorder="1"/>
    <xf numFmtId="0" fontId="24" fillId="0" borderId="0" xfId="17" quotePrefix="1" applyNumberFormat="1" applyFont="1" applyAlignment="1">
      <alignment horizontal="left"/>
    </xf>
    <xf numFmtId="164" fontId="49" fillId="0" borderId="0" xfId="0" applyFont="1"/>
    <xf numFmtId="164" fontId="31" fillId="0" borderId="0" xfId="0" applyFont="1"/>
    <xf numFmtId="0" fontId="133" fillId="0" borderId="0" xfId="8" applyFont="1" applyFill="1" applyAlignment="1">
      <alignment horizontal="left"/>
    </xf>
    <xf numFmtId="166" fontId="24" fillId="0" borderId="0" xfId="2" applyNumberFormat="1" applyFont="1" applyBorder="1" applyAlignment="1"/>
    <xf numFmtId="164" fontId="24" fillId="0" borderId="0" xfId="2" applyNumberFormat="1" applyFont="1" applyBorder="1" applyAlignment="1"/>
    <xf numFmtId="170" fontId="24" fillId="0" borderId="0" xfId="2" applyNumberFormat="1" applyFont="1" applyBorder="1"/>
    <xf numFmtId="165" fontId="24" fillId="0" borderId="0" xfId="0" applyNumberFormat="1" applyFont="1" applyAlignment="1"/>
    <xf numFmtId="165" fontId="31" fillId="0" borderId="0" xfId="0" applyNumberFormat="1" applyFont="1" applyAlignment="1"/>
    <xf numFmtId="174" fontId="24" fillId="0" borderId="0" xfId="0" quotePrefix="1" applyNumberFormat="1" applyFont="1" applyAlignment="1" applyProtection="1">
      <alignment horizontal="left"/>
    </xf>
    <xf numFmtId="174" fontId="24" fillId="0" borderId="0" xfId="0" applyNumberFormat="1" applyFont="1" applyAlignment="1" applyProtection="1">
      <protection locked="0"/>
    </xf>
    <xf numFmtId="170" fontId="24" fillId="0" borderId="20" xfId="0" quotePrefix="1" applyNumberFormat="1" applyFont="1" applyBorder="1" applyAlignment="1" applyProtection="1">
      <alignment horizontal="center"/>
      <protection locked="0"/>
    </xf>
    <xf numFmtId="170" fontId="31" fillId="0" borderId="20" xfId="0" applyNumberFormat="1" applyFont="1" applyBorder="1" applyAlignment="1"/>
    <xf numFmtId="165" fontId="24" fillId="0" borderId="0" xfId="0" quotePrefix="1" applyNumberFormat="1" applyFont="1" applyAlignment="1">
      <alignment horizontal="center"/>
    </xf>
    <xf numFmtId="170" fontId="53" fillId="0" borderId="15" xfId="2" applyNumberFormat="1" applyFont="1" applyBorder="1"/>
    <xf numFmtId="170" fontId="26" fillId="0" borderId="0" xfId="2" quotePrefix="1" applyNumberFormat="1" applyFont="1" applyFill="1" applyAlignment="1">
      <alignment horizontal="right"/>
    </xf>
    <xf numFmtId="170" fontId="63" fillId="0" borderId="15" xfId="2" applyNumberFormat="1" applyFont="1" applyBorder="1"/>
    <xf numFmtId="170" fontId="52" fillId="0" borderId="0" xfId="2" applyNumberFormat="1" applyFont="1" applyBorder="1" applyAlignment="1"/>
    <xf numFmtId="170" fontId="33" fillId="0" borderId="0" xfId="2" applyNumberFormat="1" applyFont="1" applyBorder="1" applyAlignment="1">
      <alignment horizontal="right"/>
    </xf>
    <xf numFmtId="170" fontId="26" fillId="0" borderId="21" xfId="2" applyNumberFormat="1" applyFont="1" applyBorder="1" applyAlignment="1">
      <alignment horizontal="center"/>
    </xf>
    <xf numFmtId="170" fontId="53" fillId="0" borderId="15" xfId="2" applyNumberFormat="1" applyFont="1" applyBorder="1" applyAlignment="1">
      <alignment horizontal="center"/>
    </xf>
    <xf numFmtId="170" fontId="31" fillId="0" borderId="45" xfId="2" applyNumberFormat="1" applyFont="1" applyFill="1" applyBorder="1" applyAlignment="1"/>
    <xf numFmtId="170" fontId="26" fillId="0" borderId="21" xfId="2" applyNumberFormat="1" applyFont="1" applyFill="1" applyBorder="1" applyAlignment="1"/>
    <xf numFmtId="170" fontId="31" fillId="0" borderId="21" xfId="2" applyNumberFormat="1" applyFont="1" applyFill="1" applyBorder="1" applyAlignment="1"/>
    <xf numFmtId="170" fontId="53" fillId="0" borderId="0" xfId="2" applyNumberFormat="1" applyFont="1" applyBorder="1"/>
    <xf numFmtId="170" fontId="53" fillId="0" borderId="0" xfId="2" applyNumberFormat="1" applyFont="1"/>
    <xf numFmtId="170" fontId="26" fillId="0" borderId="0" xfId="2" applyNumberFormat="1" applyFont="1"/>
    <xf numFmtId="0" fontId="85" fillId="0" borderId="0" xfId="740" applyFont="1"/>
    <xf numFmtId="0" fontId="85" fillId="0" borderId="0" xfId="740" applyFont="1" applyBorder="1"/>
    <xf numFmtId="4" fontId="30" fillId="0" borderId="0" xfId="1028" applyNumberFormat="1" applyFont="1" applyFill="1" applyBorder="1" applyAlignment="1"/>
    <xf numFmtId="0" fontId="70" fillId="0" borderId="0" xfId="1028" applyFont="1" applyAlignment="1">
      <alignment horizontal="right"/>
    </xf>
    <xf numFmtId="4" fontId="108" fillId="0" borderId="0" xfId="1028" applyNumberFormat="1" applyFont="1" applyFill="1" applyBorder="1" applyAlignment="1">
      <alignment horizontal="right"/>
    </xf>
    <xf numFmtId="0" fontId="30" fillId="0" borderId="0" xfId="1028" applyFont="1" applyBorder="1" applyAlignment="1">
      <alignment horizontal="left"/>
    </xf>
    <xf numFmtId="164" fontId="0" fillId="0" borderId="0" xfId="0" applyBorder="1"/>
    <xf numFmtId="4" fontId="108" fillId="0" borderId="0" xfId="1028" applyNumberFormat="1" applyFont="1" applyFill="1" applyBorder="1" applyAlignment="1"/>
    <xf numFmtId="4" fontId="74" fillId="0" borderId="0" xfId="1028" applyNumberFormat="1" applyFont="1" applyFill="1" applyBorder="1" applyAlignment="1"/>
    <xf numFmtId="4" fontId="108" fillId="0" borderId="0" xfId="1028" quotePrefix="1" applyNumberFormat="1" applyFont="1" applyFill="1" applyBorder="1" applyAlignment="1">
      <alignment horizontal="left"/>
    </xf>
    <xf numFmtId="4" fontId="30" fillId="0" borderId="0" xfId="1028" applyNumberFormat="1" applyFont="1" applyBorder="1" applyAlignment="1"/>
    <xf numFmtId="4" fontId="30" fillId="0" borderId="0" xfId="1028" applyNumberFormat="1" applyFont="1" applyBorder="1" applyAlignment="1">
      <alignment horizontal="center"/>
    </xf>
    <xf numFmtId="4" fontId="29" fillId="0" borderId="0" xfId="1028" applyNumberFormat="1" applyFont="1" applyFill="1" applyAlignment="1">
      <alignment horizontal="right"/>
    </xf>
    <xf numFmtId="4" fontId="31" fillId="0" borderId="0" xfId="1028" applyNumberFormat="1" applyFont="1" applyBorder="1" applyAlignment="1">
      <alignment horizontal="center"/>
    </xf>
    <xf numFmtId="1" fontId="31" fillId="0" borderId="0" xfId="1028" applyNumberFormat="1" applyFont="1" applyFill="1" applyAlignment="1"/>
    <xf numFmtId="164" fontId="85" fillId="0" borderId="0" xfId="0" applyFont="1"/>
    <xf numFmtId="4" fontId="31" fillId="0" borderId="0" xfId="1028" applyNumberFormat="1" applyFont="1" applyBorder="1" applyAlignment="1"/>
    <xf numFmtId="164" fontId="24" fillId="0" borderId="0" xfId="0" applyFont="1" applyBorder="1"/>
    <xf numFmtId="0" fontId="85" fillId="0" borderId="0" xfId="0" applyNumberFormat="1" applyFont="1" applyAlignment="1"/>
    <xf numFmtId="1" fontId="24" fillId="0" borderId="0" xfId="1028" applyNumberFormat="1" applyFont="1" applyFill="1" applyBorder="1" applyAlignment="1">
      <alignment horizontal="center"/>
    </xf>
    <xf numFmtId="4" fontId="31" fillId="0" borderId="0" xfId="1028" applyNumberFormat="1" applyFont="1" applyFill="1" applyBorder="1" applyAlignment="1"/>
    <xf numFmtId="43" fontId="0" fillId="0" borderId="0" xfId="0" applyNumberFormat="1"/>
    <xf numFmtId="164" fontId="85" fillId="0" borderId="0" xfId="0" applyFont="1" applyBorder="1"/>
    <xf numFmtId="1" fontId="24" fillId="0" borderId="0" xfId="1028" applyNumberFormat="1" applyFont="1" applyBorder="1" applyAlignment="1">
      <alignment horizontal="center"/>
    </xf>
    <xf numFmtId="1" fontId="24" fillId="0" borderId="0" xfId="1028" applyNumberFormat="1" applyFont="1" applyFill="1" applyAlignment="1"/>
    <xf numFmtId="4" fontId="24" fillId="0" borderId="0" xfId="1028" quotePrefix="1" applyNumberFormat="1" applyFont="1" applyFill="1" applyAlignment="1">
      <alignment horizontal="center"/>
    </xf>
    <xf numFmtId="1" fontId="24" fillId="0" borderId="0" xfId="0" applyNumberFormat="1" applyFont="1" applyAlignment="1">
      <alignment horizontal="center"/>
    </xf>
    <xf numFmtId="1" fontId="24" fillId="0" borderId="0" xfId="1028" applyNumberFormat="1" applyFont="1" applyFill="1" applyBorder="1" applyAlignment="1"/>
    <xf numFmtId="4" fontId="24" fillId="33" borderId="0" xfId="1028" applyNumberFormat="1" applyFont="1" applyFill="1" applyBorder="1" applyAlignment="1">
      <alignment horizontal="centerContinuous"/>
    </xf>
    <xf numFmtId="4" fontId="24" fillId="33" borderId="0" xfId="1028" applyNumberFormat="1" applyFont="1" applyFill="1" applyBorder="1" applyAlignment="1">
      <alignment horizontal="center"/>
    </xf>
    <xf numFmtId="4" fontId="31" fillId="0" borderId="0" xfId="1028" quotePrefix="1" applyNumberFormat="1" applyFont="1" applyBorder="1" applyAlignment="1">
      <alignment horizontal="left"/>
    </xf>
    <xf numFmtId="4" fontId="31" fillId="0" borderId="0" xfId="0" applyNumberFormat="1" applyFont="1" applyAlignment="1">
      <alignment horizontal="left"/>
    </xf>
    <xf numFmtId="4" fontId="31" fillId="0" borderId="0" xfId="1028" applyNumberFormat="1" applyFont="1" applyBorder="1" applyAlignment="1">
      <alignment horizontal="left"/>
    </xf>
    <xf numFmtId="37" fontId="31" fillId="0" borderId="0" xfId="1028" applyNumberFormat="1" applyFont="1" applyFill="1" applyBorder="1" applyAlignment="1">
      <alignment horizontal="right"/>
    </xf>
    <xf numFmtId="37" fontId="31" fillId="0" borderId="0" xfId="0" applyNumberFormat="1" applyFont="1" applyAlignment="1">
      <alignment horizontal="right"/>
    </xf>
    <xf numFmtId="4" fontId="31" fillId="0" borderId="0" xfId="0" applyNumberFormat="1" applyFont="1" applyBorder="1" applyAlignment="1">
      <alignment horizontal="left"/>
    </xf>
    <xf numFmtId="39" fontId="24" fillId="0" borderId="0" xfId="1028" applyNumberFormat="1" applyFont="1" applyFill="1" applyBorder="1" applyAlignment="1"/>
    <xf numFmtId="0" fontId="130" fillId="0" borderId="0" xfId="841" applyFont="1" applyBorder="1"/>
    <xf numFmtId="166" fontId="51" fillId="0" borderId="69" xfId="2" applyNumberFormat="1" applyFont="1" applyBorder="1" applyAlignment="1"/>
    <xf numFmtId="170" fontId="24" fillId="0" borderId="0" xfId="2" applyNumberFormat="1" applyFont="1" applyAlignment="1">
      <alignment horizontal="right"/>
    </xf>
    <xf numFmtId="174" fontId="46" fillId="0" borderId="0" xfId="2" applyNumberFormat="1" applyFont="1" applyFill="1" applyAlignment="1"/>
    <xf numFmtId="178" fontId="31" fillId="0" borderId="0" xfId="740" applyNumberFormat="1" applyFont="1" applyBorder="1" applyAlignment="1">
      <alignment horizontal="right"/>
    </xf>
    <xf numFmtId="178" fontId="88" fillId="0" borderId="0" xfId="740" applyNumberFormat="1" applyFont="1" applyFill="1"/>
    <xf numFmtId="178" fontId="88" fillId="0" borderId="0" xfId="740" applyNumberFormat="1" applyFont="1"/>
    <xf numFmtId="178" fontId="31" fillId="0" borderId="0" xfId="740" applyNumberFormat="1" applyFont="1" applyAlignment="1">
      <alignment horizontal="right"/>
    </xf>
    <xf numFmtId="178" fontId="31" fillId="33" borderId="16" xfId="740" applyNumberFormat="1" applyFont="1" applyFill="1" applyBorder="1" applyAlignment="1"/>
    <xf numFmtId="178" fontId="31" fillId="33" borderId="0" xfId="740" applyNumberFormat="1" applyFont="1" applyFill="1" applyBorder="1" applyAlignment="1"/>
    <xf numFmtId="178" fontId="49" fillId="0" borderId="20" xfId="836" applyNumberFormat="1" applyFont="1" applyBorder="1" applyAlignment="1"/>
    <xf numFmtId="178" fontId="49" fillId="0" borderId="0" xfId="836" applyNumberFormat="1" applyFont="1" applyBorder="1" applyAlignment="1"/>
    <xf numFmtId="178" fontId="49" fillId="0" borderId="0" xfId="836" applyNumberFormat="1" applyFont="1" applyAlignment="1">
      <alignment horizontal="fill"/>
    </xf>
    <xf numFmtId="178" fontId="49" fillId="0" borderId="0" xfId="836" applyNumberFormat="1" applyFont="1" applyAlignment="1">
      <alignment horizontal="right"/>
    </xf>
    <xf numFmtId="178" fontId="49" fillId="0" borderId="0" xfId="836" applyNumberFormat="1" applyFont="1"/>
    <xf numFmtId="178" fontId="49" fillId="0" borderId="0" xfId="836" quotePrefix="1" applyNumberFormat="1" applyFont="1" applyFill="1" applyAlignment="1"/>
    <xf numFmtId="178" fontId="54" fillId="0" borderId="0" xfId="836" applyNumberFormat="1" applyFont="1" applyBorder="1" applyAlignment="1"/>
    <xf numFmtId="178" fontId="54" fillId="0" borderId="0" xfId="836" applyNumberFormat="1" applyFont="1" applyAlignment="1"/>
    <xf numFmtId="181" fontId="54" fillId="0" borderId="17" xfId="836" applyNumberFormat="1" applyFont="1" applyBorder="1" applyAlignment="1">
      <alignment horizontal="right"/>
    </xf>
    <xf numFmtId="0" fontId="147" fillId="0" borderId="0" xfId="8" applyFont="1"/>
    <xf numFmtId="0" fontId="104" fillId="0" borderId="0" xfId="8" quotePrefix="1" applyFont="1" applyBorder="1" applyAlignment="1">
      <alignment horizontal="right"/>
    </xf>
    <xf numFmtId="0" fontId="69" fillId="0" borderId="0" xfId="8" applyFont="1" applyBorder="1" applyAlignment="1"/>
    <xf numFmtId="0" fontId="134" fillId="0" borderId="0" xfId="8" applyFont="1" applyBorder="1"/>
    <xf numFmtId="0" fontId="36" fillId="0" borderId="0" xfId="8" applyFont="1" applyBorder="1" applyAlignment="1"/>
    <xf numFmtId="0" fontId="24" fillId="0" borderId="0" xfId="8" applyFont="1" applyBorder="1" applyAlignment="1"/>
    <xf numFmtId="0" fontId="104" fillId="0" borderId="0" xfId="8" applyFont="1" applyFill="1" applyBorder="1" applyAlignment="1">
      <alignment horizontal="center"/>
    </xf>
    <xf numFmtId="0" fontId="36" fillId="0" borderId="0" xfId="8" applyFont="1" applyFill="1" applyBorder="1" applyAlignment="1">
      <alignment horizontal="center"/>
    </xf>
    <xf numFmtId="174" fontId="36" fillId="0" borderId="0" xfId="8" applyNumberFormat="1" applyFont="1" applyFill="1" applyBorder="1" applyAlignment="1"/>
    <xf numFmtId="170" fontId="36" fillId="0" borderId="0" xfId="8" applyNumberFormat="1" applyFont="1" applyFill="1" applyBorder="1" applyAlignment="1"/>
    <xf numFmtId="194" fontId="30" fillId="0" borderId="0" xfId="8" quotePrefix="1" applyNumberFormat="1" applyFont="1" applyAlignment="1">
      <alignment horizontal="center"/>
    </xf>
    <xf numFmtId="170" fontId="24" fillId="0" borderId="0" xfId="2" applyNumberFormat="1" applyFont="1" applyFill="1" applyAlignment="1">
      <alignment horizontal="right"/>
    </xf>
    <xf numFmtId="170" fontId="24" fillId="0" borderId="0" xfId="2" quotePrefix="1" applyNumberFormat="1" applyFont="1" applyFill="1" applyAlignment="1">
      <alignment horizontal="right"/>
    </xf>
    <xf numFmtId="170" fontId="47" fillId="0" borderId="0" xfId="2" quotePrefix="1" applyNumberFormat="1" applyFont="1" applyFill="1" applyAlignment="1">
      <alignment horizontal="center"/>
    </xf>
    <xf numFmtId="170" fontId="24" fillId="0" borderId="0" xfId="2" quotePrefix="1" applyNumberFormat="1" applyFont="1" applyAlignment="1">
      <alignment horizontal="right"/>
    </xf>
    <xf numFmtId="170" fontId="24" fillId="0" borderId="0" xfId="2" quotePrefix="1" applyNumberFormat="1" applyFont="1" applyAlignment="1"/>
    <xf numFmtId="170" fontId="24" fillId="0" borderId="20" xfId="2" applyNumberFormat="1" applyFont="1" applyBorder="1" applyAlignment="1"/>
    <xf numFmtId="174" fontId="124" fillId="0" borderId="0" xfId="2" applyNumberFormat="1" applyFont="1" applyBorder="1"/>
    <xf numFmtId="0" fontId="24" fillId="0" borderId="0" xfId="2" applyNumberFormat="1" applyFont="1" applyAlignment="1"/>
    <xf numFmtId="170" fontId="31" fillId="0" borderId="16" xfId="2" applyNumberFormat="1" applyFont="1" applyBorder="1" applyAlignment="1">
      <alignment horizontal="right"/>
    </xf>
    <xf numFmtId="170" fontId="26" fillId="33" borderId="0" xfId="2" applyNumberFormat="1" applyFont="1" applyFill="1" applyBorder="1" applyAlignment="1"/>
    <xf numFmtId="170" fontId="26" fillId="0" borderId="18" xfId="2" applyNumberFormat="1" applyFont="1" applyBorder="1" applyAlignment="1">
      <alignment horizontal="center"/>
    </xf>
    <xf numFmtId="170" fontId="29" fillId="0" borderId="0" xfId="2" applyNumberFormat="1" applyFont="1" applyAlignment="1"/>
    <xf numFmtId="0" fontId="24" fillId="0" borderId="0" xfId="2" applyFont="1" applyBorder="1"/>
    <xf numFmtId="0" fontId="54" fillId="0" borderId="0" xfId="836" applyNumberFormat="1" applyFont="1" applyFill="1" applyAlignment="1">
      <alignment horizontal="center"/>
    </xf>
    <xf numFmtId="0" fontId="54" fillId="0" borderId="20" xfId="836" applyNumberFormat="1" applyFont="1" applyFill="1" applyBorder="1" applyAlignment="1"/>
    <xf numFmtId="182" fontId="49" fillId="0" borderId="0" xfId="836" applyNumberFormat="1" applyFont="1" applyFill="1" applyBorder="1" applyAlignment="1"/>
    <xf numFmtId="181" fontId="64" fillId="0" borderId="10" xfId="836" quotePrefix="1" applyNumberFormat="1" applyFont="1" applyFill="1" applyBorder="1" applyAlignment="1"/>
    <xf numFmtId="181" fontId="49" fillId="0" borderId="0" xfId="836" applyNumberFormat="1" applyFont="1" applyFill="1" applyBorder="1" applyAlignment="1"/>
    <xf numFmtId="181" fontId="49" fillId="0" borderId="10" xfId="836" applyNumberFormat="1" applyFont="1" applyFill="1" applyBorder="1" applyAlignment="1"/>
    <xf numFmtId="181" fontId="64" fillId="0" borderId="0" xfId="836" quotePrefix="1" applyNumberFormat="1" applyFont="1" applyFill="1" applyBorder="1" applyAlignment="1"/>
    <xf numFmtId="186" fontId="66" fillId="0" borderId="0" xfId="836" applyNumberFormat="1" applyFont="1" applyFill="1" applyAlignment="1"/>
    <xf numFmtId="182" fontId="49" fillId="0" borderId="0" xfId="836" applyNumberFormat="1" applyFont="1" applyFill="1" applyAlignment="1"/>
    <xf numFmtId="182" fontId="49" fillId="0" borderId="20" xfId="836" applyNumberFormat="1" applyFont="1" applyFill="1" applyBorder="1" applyAlignment="1"/>
    <xf numFmtId="182" fontId="49" fillId="0" borderId="20" xfId="836" applyNumberFormat="1" applyFont="1" applyFill="1" applyBorder="1" applyAlignment="1">
      <alignment horizontal="right"/>
    </xf>
    <xf numFmtId="182" fontId="66" fillId="0" borderId="20" xfId="836" applyNumberFormat="1" applyFont="1" applyFill="1" applyBorder="1"/>
    <xf numFmtId="178" fontId="54" fillId="0" borderId="0" xfId="836" applyNumberFormat="1" applyFont="1" applyFill="1" applyAlignment="1">
      <alignment horizontal="right"/>
    </xf>
    <xf numFmtId="178" fontId="54" fillId="0" borderId="0" xfId="836" applyNumberFormat="1" applyFont="1" applyFill="1" applyAlignment="1"/>
    <xf numFmtId="178" fontId="49" fillId="0" borderId="20" xfId="836" applyNumberFormat="1" applyFont="1" applyFill="1" applyBorder="1" applyAlignment="1"/>
    <xf numFmtId="178" fontId="54" fillId="0" borderId="0" xfId="836" applyNumberFormat="1" applyFont="1" applyFill="1" applyBorder="1" applyAlignment="1"/>
    <xf numFmtId="173" fontId="49" fillId="0" borderId="0" xfId="836" quotePrefix="1" applyNumberFormat="1" applyFont="1" applyFill="1" applyAlignment="1">
      <alignment horizontal="left"/>
    </xf>
    <xf numFmtId="178" fontId="49" fillId="0" borderId="0" xfId="836" quotePrefix="1" applyNumberFormat="1" applyFont="1" applyFill="1" applyAlignment="1">
      <alignment horizontal="center"/>
    </xf>
    <xf numFmtId="178" fontId="49" fillId="0" borderId="10" xfId="836" applyNumberFormat="1" applyFont="1" applyFill="1" applyBorder="1" applyAlignment="1"/>
    <xf numFmtId="178" fontId="49" fillId="0" borderId="10" xfId="836" quotePrefix="1" applyNumberFormat="1" applyFont="1" applyFill="1" applyBorder="1" applyAlignment="1"/>
    <xf numFmtId="178" fontId="49" fillId="0" borderId="10" xfId="836" quotePrefix="1" applyNumberFormat="1" applyFont="1" applyFill="1" applyBorder="1" applyAlignment="1">
      <alignment horizontal="right"/>
    </xf>
    <xf numFmtId="178" fontId="49" fillId="0" borderId="10" xfId="836" quotePrefix="1" applyNumberFormat="1" applyFont="1" applyFill="1" applyBorder="1" applyAlignment="1">
      <alignment horizontal="center"/>
    </xf>
    <xf numFmtId="178" fontId="49" fillId="0" borderId="0" xfId="836" applyNumberFormat="1" applyFont="1" applyFill="1" applyBorder="1" applyAlignment="1" applyProtection="1">
      <protection locked="0"/>
    </xf>
    <xf numFmtId="178" fontId="49" fillId="0" borderId="0" xfId="836" applyNumberFormat="1" applyFont="1" applyFill="1" applyBorder="1" applyAlignment="1">
      <alignment horizontal="center"/>
    </xf>
    <xf numFmtId="178" fontId="54" fillId="0" borderId="10" xfId="836" applyNumberFormat="1" applyFont="1" applyFill="1" applyBorder="1" applyAlignment="1"/>
    <xf numFmtId="178" fontId="64" fillId="0" borderId="0" xfId="836" quotePrefix="1" applyNumberFormat="1" applyFont="1" applyFill="1" applyBorder="1" applyAlignment="1">
      <alignment horizontal="right"/>
    </xf>
    <xf numFmtId="178" fontId="64" fillId="0" borderId="0" xfId="836" applyNumberFormat="1" applyFont="1" applyFill="1" applyAlignment="1">
      <alignment horizontal="right"/>
    </xf>
    <xf numFmtId="178" fontId="64" fillId="0" borderId="0" xfId="836" quotePrefix="1" applyNumberFormat="1" applyFont="1" applyFill="1" applyAlignment="1">
      <alignment horizontal="right"/>
    </xf>
    <xf numFmtId="178" fontId="64" fillId="0" borderId="0" xfId="836" applyNumberFormat="1" applyFont="1" applyFill="1" applyBorder="1" applyAlignment="1">
      <alignment horizontal="right"/>
    </xf>
    <xf numFmtId="178" fontId="66" fillId="0" borderId="0" xfId="836" applyNumberFormat="1" applyFont="1" applyFill="1" applyBorder="1" applyAlignment="1">
      <alignment horizontal="right"/>
    </xf>
    <xf numFmtId="178" fontId="54" fillId="0" borderId="33" xfId="836" applyNumberFormat="1" applyFont="1" applyFill="1" applyBorder="1" applyAlignment="1">
      <alignment horizontal="right"/>
    </xf>
    <xf numFmtId="181" fontId="49" fillId="0" borderId="0" xfId="836" applyNumberFormat="1" applyFont="1" applyFill="1" applyAlignment="1"/>
    <xf numFmtId="181" fontId="54" fillId="0" borderId="17" xfId="836" applyNumberFormat="1" applyFont="1" applyFill="1" applyBorder="1" applyAlignment="1"/>
    <xf numFmtId="181" fontId="54" fillId="0" borderId="0" xfId="836" applyNumberFormat="1" applyFont="1" applyFill="1" applyAlignment="1">
      <alignment horizontal="right"/>
    </xf>
    <xf numFmtId="181" fontId="54" fillId="0" borderId="0" xfId="836" applyNumberFormat="1" applyFont="1" applyFill="1" applyAlignment="1"/>
    <xf numFmtId="182" fontId="49" fillId="0" borderId="36" xfId="836" applyNumberFormat="1" applyFont="1" applyFill="1" applyBorder="1" applyAlignment="1"/>
    <xf numFmtId="0" fontId="148" fillId="0" borderId="0" xfId="836" quotePrefix="1" applyNumberFormat="1" applyFont="1" applyFill="1" applyAlignment="1">
      <alignment horizontal="left"/>
    </xf>
    <xf numFmtId="173" fontId="66" fillId="0" borderId="0" xfId="836" applyNumberFormat="1" applyFont="1" applyFill="1"/>
    <xf numFmtId="0" fontId="24" fillId="0" borderId="0" xfId="17" applyNumberFormat="1" applyFont="1" applyFill="1" applyAlignment="1">
      <alignment readingOrder="1"/>
    </xf>
    <xf numFmtId="0" fontId="24" fillId="0" borderId="0" xfId="17" applyNumberFormat="1" applyFont="1" applyFill="1" applyAlignment="1"/>
    <xf numFmtId="0" fontId="24" fillId="0" borderId="0" xfId="17" applyNumberFormat="1" applyFont="1" applyFill="1" applyAlignment="1" applyProtection="1">
      <alignment readingOrder="1"/>
      <protection locked="0"/>
    </xf>
    <xf numFmtId="0" fontId="24" fillId="0" borderId="0" xfId="17" applyNumberFormat="1" applyFont="1" applyFill="1" applyAlignment="1" applyProtection="1">
      <protection locked="0"/>
    </xf>
    <xf numFmtId="0" fontId="31" fillId="0" borderId="0" xfId="17" applyNumberFormat="1" applyFont="1" applyAlignment="1" applyProtection="1">
      <protection locked="0"/>
    </xf>
    <xf numFmtId="3" fontId="72" fillId="0" borderId="0" xfId="23" quotePrefix="1" applyNumberFormat="1" applyFont="1" applyBorder="1" applyAlignment="1">
      <alignment horizontal="left"/>
    </xf>
    <xf numFmtId="49" fontId="72" fillId="0" borderId="0" xfId="23" applyNumberFormat="1" applyFont="1" applyFill="1" applyBorder="1" applyAlignment="1">
      <alignment horizontal="left"/>
    </xf>
    <xf numFmtId="0" fontId="103" fillId="0" borderId="0" xfId="23" applyFont="1" applyBorder="1"/>
    <xf numFmtId="0" fontId="103" fillId="0" borderId="0" xfId="23" applyFont="1" applyBorder="1" applyAlignment="1"/>
    <xf numFmtId="0" fontId="102" fillId="0" borderId="0" xfId="23" applyFont="1" applyBorder="1" applyAlignment="1"/>
    <xf numFmtId="3" fontId="72" fillId="0" borderId="0" xfId="831" quotePrefix="1" applyNumberFormat="1" applyFont="1" applyAlignment="1">
      <alignment horizontal="left"/>
    </xf>
    <xf numFmtId="37" fontId="72" fillId="0" borderId="0" xfId="831" quotePrefix="1" applyNumberFormat="1" applyFont="1" applyFill="1" applyAlignment="1">
      <alignment horizontal="left"/>
    </xf>
    <xf numFmtId="0" fontId="0" fillId="0" borderId="0" xfId="0" applyNumberFormat="1"/>
    <xf numFmtId="49" fontId="72" fillId="0" borderId="0" xfId="831" applyNumberFormat="1" applyFont="1" applyFill="1" applyAlignment="1"/>
    <xf numFmtId="49" fontId="72" fillId="0" borderId="0" xfId="831" applyNumberFormat="1" applyFont="1" applyFill="1" applyAlignment="1">
      <alignment horizontal="left"/>
    </xf>
    <xf numFmtId="37" fontId="101" fillId="0" borderId="0" xfId="831" applyNumberFormat="1" applyFont="1" applyFill="1" applyBorder="1" applyAlignment="1">
      <alignment horizontal="center"/>
    </xf>
    <xf numFmtId="4" fontId="72" fillId="0" borderId="0" xfId="831" applyNumberFormat="1" applyFont="1" applyFill="1" applyAlignment="1">
      <alignment horizontal="center"/>
    </xf>
    <xf numFmtId="37" fontId="72" fillId="0" borderId="0" xfId="831" applyNumberFormat="1" applyFont="1" applyFill="1" applyAlignment="1">
      <alignment horizontal="center"/>
    </xf>
    <xf numFmtId="0" fontId="149" fillId="0" borderId="0" xfId="831" applyFont="1"/>
    <xf numFmtId="0" fontId="102" fillId="0" borderId="0" xfId="831" applyFont="1"/>
    <xf numFmtId="4" fontId="102" fillId="0" borderId="0" xfId="831" applyNumberFormat="1" applyFont="1"/>
    <xf numFmtId="0" fontId="149" fillId="0" borderId="0" xfId="0" applyNumberFormat="1" applyFont="1"/>
    <xf numFmtId="49" fontId="101" fillId="0" borderId="0" xfId="831" applyNumberFormat="1" applyFont="1" applyAlignment="1">
      <alignment horizontal="center"/>
    </xf>
    <xf numFmtId="0" fontId="101" fillId="0" borderId="0" xfId="831" applyFont="1" applyAlignment="1">
      <alignment horizontal="center"/>
    </xf>
    <xf numFmtId="37" fontId="101" fillId="0" borderId="0" xfId="831" applyNumberFormat="1" applyFont="1" applyFill="1" applyAlignment="1">
      <alignment horizontal="center"/>
    </xf>
    <xf numFmtId="4" fontId="102" fillId="0" borderId="0" xfId="831" applyNumberFormat="1" applyFont="1" applyAlignment="1">
      <alignment horizontal="center"/>
    </xf>
    <xf numFmtId="49" fontId="101" fillId="0" borderId="52" xfId="831" applyNumberFormat="1" applyFont="1" applyBorder="1" applyAlignment="1">
      <alignment horizontal="center"/>
    </xf>
    <xf numFmtId="49" fontId="101" fillId="0" borderId="0" xfId="831" applyNumberFormat="1" applyFont="1" applyBorder="1" applyAlignment="1">
      <alignment horizontal="center"/>
    </xf>
    <xf numFmtId="0" fontId="101" fillId="0" borderId="52" xfId="831" applyFont="1" applyBorder="1" applyAlignment="1">
      <alignment horizontal="center"/>
    </xf>
    <xf numFmtId="0" fontId="101" fillId="0" borderId="0" xfId="831" applyFont="1" applyBorder="1" applyAlignment="1">
      <alignment horizontal="center"/>
    </xf>
    <xf numFmtId="4" fontId="101" fillId="0" borderId="52" xfId="831" applyNumberFormat="1" applyFont="1" applyFill="1" applyBorder="1" applyAlignment="1">
      <alignment horizontal="center"/>
    </xf>
    <xf numFmtId="4" fontId="101" fillId="0" borderId="0" xfId="831" applyNumberFormat="1" applyFont="1" applyBorder="1" applyAlignment="1">
      <alignment horizontal="center"/>
    </xf>
    <xf numFmtId="37" fontId="101" fillId="0" borderId="52" xfId="831" applyNumberFormat="1" applyFont="1" applyBorder="1" applyAlignment="1">
      <alignment horizontal="center"/>
    </xf>
    <xf numFmtId="0" fontId="103" fillId="0" borderId="0" xfId="831" applyFont="1"/>
    <xf numFmtId="0" fontId="102" fillId="0" borderId="0" xfId="831" applyFont="1" applyAlignment="1">
      <alignment horizontal="right"/>
    </xf>
    <xf numFmtId="49" fontId="102" fillId="0" borderId="0" xfId="831" applyNumberFormat="1" applyFont="1" applyAlignment="1">
      <alignment horizontal="center" vertical="top"/>
    </xf>
    <xf numFmtId="0" fontId="102" fillId="0" borderId="0" xfId="831" applyFont="1" applyAlignment="1">
      <alignment vertical="top"/>
    </xf>
    <xf numFmtId="0" fontId="102" fillId="0" borderId="0" xfId="831" applyFont="1" applyAlignment="1">
      <alignment vertical="top" wrapText="1"/>
    </xf>
    <xf numFmtId="0" fontId="104" fillId="0" borderId="0" xfId="831" applyFont="1" applyFill="1" applyBorder="1" applyAlignment="1">
      <alignment horizontal="right" vertical="top"/>
    </xf>
    <xf numFmtId="177" fontId="102" fillId="0" borderId="0" xfId="831" applyNumberFormat="1" applyFont="1" applyAlignment="1">
      <alignment horizontal="center" vertical="top"/>
    </xf>
    <xf numFmtId="49" fontId="102" fillId="0" borderId="0" xfId="831" applyNumberFormat="1" applyFont="1" applyAlignment="1">
      <alignment horizontal="center"/>
    </xf>
    <xf numFmtId="0" fontId="102" fillId="0" borderId="0" xfId="831" applyFont="1" applyAlignment="1"/>
    <xf numFmtId="0" fontId="102" fillId="0" borderId="0" xfId="831" applyFont="1" applyAlignment="1">
      <alignment wrapText="1"/>
    </xf>
    <xf numFmtId="4" fontId="102" fillId="0" borderId="0" xfId="831" applyNumberFormat="1" applyFont="1" applyFill="1"/>
    <xf numFmtId="0" fontId="101" fillId="0" borderId="0" xfId="831" applyFont="1" applyAlignment="1">
      <alignment horizontal="right"/>
    </xf>
    <xf numFmtId="0" fontId="103" fillId="0" borderId="0" xfId="831" applyFont="1" applyAlignment="1"/>
    <xf numFmtId="0" fontId="102" fillId="0" borderId="0" xfId="831" applyFont="1" applyAlignment="1">
      <alignment horizontal="center" vertical="top"/>
    </xf>
    <xf numFmtId="49" fontId="102" fillId="0" borderId="0" xfId="831" applyNumberFormat="1" applyFont="1"/>
    <xf numFmtId="43" fontId="102" fillId="0" borderId="0" xfId="831" applyNumberFormat="1" applyFont="1" applyFill="1"/>
    <xf numFmtId="43" fontId="102" fillId="0" borderId="0" xfId="831" applyNumberFormat="1" applyFont="1" applyFill="1" applyBorder="1"/>
    <xf numFmtId="4" fontId="104" fillId="0" borderId="0" xfId="831" applyNumberFormat="1" applyFont="1" applyFill="1" applyAlignment="1">
      <alignment horizontal="right"/>
    </xf>
    <xf numFmtId="0" fontId="104" fillId="0" borderId="0" xfId="831" applyFont="1" applyFill="1" applyAlignment="1">
      <alignment vertical="top"/>
    </xf>
    <xf numFmtId="0" fontId="103" fillId="0" borderId="0" xfId="831" applyFont="1" applyAlignment="1">
      <alignment vertical="top"/>
    </xf>
    <xf numFmtId="4" fontId="102" fillId="0" borderId="0" xfId="831" applyNumberFormat="1" applyFont="1" applyFill="1" applyBorder="1"/>
    <xf numFmtId="0" fontId="104" fillId="0" borderId="0" xfId="831" applyFont="1" applyFill="1" applyAlignment="1">
      <alignment horizontal="right"/>
    </xf>
    <xf numFmtId="0" fontId="36" fillId="0" borderId="0" xfId="831" applyFont="1" applyAlignment="1">
      <alignment horizontal="left"/>
    </xf>
    <xf numFmtId="0" fontId="102" fillId="0" borderId="0" xfId="831" applyNumberFormat="1" applyFont="1" applyAlignment="1"/>
    <xf numFmtId="37" fontId="102" fillId="0" borderId="0" xfId="831" applyNumberFormat="1" applyFont="1" applyFill="1" applyAlignment="1"/>
    <xf numFmtId="4" fontId="102" fillId="0" borderId="0" xfId="831" applyNumberFormat="1" applyFont="1" applyAlignment="1"/>
    <xf numFmtId="0" fontId="105" fillId="0" borderId="0" xfId="831" applyNumberFormat="1" applyFont="1" applyAlignment="1">
      <alignment horizontal="left" wrapText="1"/>
    </xf>
    <xf numFmtId="0" fontId="102" fillId="0" borderId="0" xfId="831" applyNumberFormat="1" applyFont="1" applyAlignment="1">
      <alignment horizontal="left" wrapText="1"/>
    </xf>
    <xf numFmtId="37" fontId="102" fillId="0" borderId="0" xfId="831" applyNumberFormat="1" applyFont="1" applyFill="1" applyAlignment="1">
      <alignment horizontal="left" wrapText="1"/>
    </xf>
    <xf numFmtId="4" fontId="102" fillId="0" borderId="0" xfId="831" applyNumberFormat="1" applyFont="1" applyAlignment="1">
      <alignment horizontal="left" wrapText="1"/>
    </xf>
    <xf numFmtId="0" fontId="36" fillId="0" borderId="0" xfId="831" applyNumberFormat="1" applyFont="1" applyAlignment="1">
      <alignment horizontal="left"/>
    </xf>
    <xf numFmtId="0" fontId="36" fillId="0" borderId="0" xfId="831" applyNumberFormat="1" applyFont="1" applyAlignment="1">
      <alignment horizontal="left" wrapText="1"/>
    </xf>
    <xf numFmtId="37" fontId="36" fillId="0" borderId="0" xfId="831" applyNumberFormat="1" applyFont="1" applyFill="1" applyAlignment="1">
      <alignment horizontal="left" wrapText="1"/>
    </xf>
    <xf numFmtId="4" fontId="36" fillId="0" borderId="0" xfId="831" applyNumberFormat="1" applyFont="1" applyAlignment="1">
      <alignment horizontal="left" wrapText="1"/>
    </xf>
    <xf numFmtId="0" fontId="36" fillId="0" borderId="0" xfId="831" quotePrefix="1" applyFont="1" applyAlignment="1">
      <alignment horizontal="left"/>
    </xf>
    <xf numFmtId="0" fontId="36" fillId="0" borderId="0" xfId="831" applyFont="1"/>
    <xf numFmtId="49" fontId="36" fillId="0" borderId="0" xfId="831" applyNumberFormat="1" applyFont="1"/>
    <xf numFmtId="37" fontId="36" fillId="0" borderId="0" xfId="831" applyNumberFormat="1" applyFont="1" applyFill="1"/>
    <xf numFmtId="4" fontId="36" fillId="0" borderId="0" xfId="831" applyNumberFormat="1" applyFont="1"/>
    <xf numFmtId="4" fontId="106" fillId="0" borderId="0" xfId="831" applyNumberFormat="1" applyFont="1" applyAlignment="1">
      <alignment horizontal="left" wrapText="1"/>
    </xf>
    <xf numFmtId="49" fontId="107" fillId="0" borderId="0" xfId="831" applyNumberFormat="1" applyFont="1"/>
    <xf numFmtId="0" fontId="107" fillId="0" borderId="0" xfId="831" applyFont="1"/>
    <xf numFmtId="37" fontId="107" fillId="0" borderId="0" xfId="831" applyNumberFormat="1" applyFont="1" applyFill="1"/>
    <xf numFmtId="4" fontId="107" fillId="0" borderId="0" xfId="831" applyNumberFormat="1" applyFont="1"/>
    <xf numFmtId="39" fontId="29" fillId="0" borderId="0" xfId="0" applyNumberFormat="1" applyFont="1" applyFill="1" applyAlignment="1"/>
    <xf numFmtId="0" fontId="29" fillId="0" borderId="0" xfId="0" quotePrefix="1" applyNumberFormat="1" applyFont="1" applyFill="1" applyAlignment="1">
      <alignment horizontal="right"/>
    </xf>
    <xf numFmtId="39" fontId="29" fillId="0" borderId="0" xfId="0" applyNumberFormat="1" applyFont="1" applyFill="1" applyAlignment="1">
      <alignment horizontal="right" vertical="top"/>
    </xf>
    <xf numFmtId="39" fontId="29" fillId="0" borderId="0" xfId="0" applyNumberFormat="1" applyFont="1" applyFill="1" applyAlignment="1">
      <alignment horizontal="center" vertical="top"/>
    </xf>
    <xf numFmtId="0" fontId="29" fillId="0" borderId="0" xfId="0" applyNumberFormat="1" applyFont="1" applyFill="1" applyAlignment="1">
      <alignment horizontal="right" vertical="top"/>
    </xf>
    <xf numFmtId="0" fontId="29" fillId="0" borderId="0" xfId="0" quotePrefix="1" applyNumberFormat="1" applyFont="1" applyFill="1" applyAlignment="1"/>
    <xf numFmtId="0" fontId="29" fillId="0" borderId="0" xfId="0" applyNumberFormat="1" applyFont="1" applyFill="1" applyAlignment="1">
      <alignment horizontal="center" vertical="top"/>
    </xf>
    <xf numFmtId="39" fontId="29" fillId="0" borderId="0" xfId="0" applyNumberFormat="1" applyFont="1" applyFill="1" applyBorder="1" applyAlignment="1"/>
    <xf numFmtId="4" fontId="29" fillId="0" borderId="0" xfId="0" applyNumberFormat="1" applyFont="1" applyFill="1" applyBorder="1" applyAlignment="1">
      <alignment horizontal="right"/>
    </xf>
    <xf numFmtId="39" fontId="29" fillId="0" borderId="0" xfId="0" quotePrefix="1" applyNumberFormat="1" applyFont="1" applyFill="1" applyBorder="1" applyAlignment="1">
      <alignment horizontal="right"/>
    </xf>
    <xf numFmtId="0" fontId="151" fillId="0" borderId="0" xfId="0" applyNumberFormat="1" applyFont="1" applyFill="1"/>
    <xf numFmtId="0" fontId="152" fillId="0" borderId="0" xfId="0" applyNumberFormat="1" applyFont="1" applyFill="1"/>
    <xf numFmtId="0" fontId="152" fillId="0" borderId="0" xfId="0" applyNumberFormat="1" applyFont="1" applyFill="1" applyAlignment="1">
      <alignment horizontal="left"/>
    </xf>
    <xf numFmtId="0" fontId="152" fillId="0" borderId="0" xfId="0" applyNumberFormat="1" applyFont="1" applyFill="1" applyAlignment="1">
      <alignment horizontal="center"/>
    </xf>
    <xf numFmtId="0" fontId="152" fillId="0" borderId="0" xfId="0" quotePrefix="1" applyNumberFormat="1" applyFont="1" applyFill="1" applyAlignment="1">
      <alignment horizontal="center"/>
    </xf>
    <xf numFmtId="0" fontId="152" fillId="0" borderId="0" xfId="0" applyNumberFormat="1" applyFont="1" applyFill="1" applyAlignment="1">
      <alignment horizontal="centerContinuous"/>
    </xf>
    <xf numFmtId="0" fontId="152" fillId="0" borderId="69" xfId="0" applyNumberFormat="1" applyFont="1" applyFill="1" applyBorder="1" applyAlignment="1">
      <alignment horizontal="centerContinuous"/>
    </xf>
    <xf numFmtId="0" fontId="152" fillId="0" borderId="69" xfId="0" applyNumberFormat="1" applyFont="1" applyFill="1" applyBorder="1"/>
    <xf numFmtId="0" fontId="152" fillId="0" borderId="69" xfId="0" quotePrefix="1" applyNumberFormat="1" applyFont="1" applyFill="1" applyBorder="1" applyAlignment="1">
      <alignment horizontal="center"/>
    </xf>
    <xf numFmtId="49" fontId="152" fillId="0" borderId="69" xfId="0" applyNumberFormat="1" applyFont="1" applyFill="1" applyBorder="1" applyAlignment="1">
      <alignment horizontal="center"/>
    </xf>
    <xf numFmtId="49" fontId="152" fillId="0" borderId="69" xfId="0" quotePrefix="1" applyNumberFormat="1" applyFont="1" applyFill="1" applyBorder="1" applyAlignment="1">
      <alignment horizontal="center"/>
    </xf>
    <xf numFmtId="0" fontId="152" fillId="0" borderId="69" xfId="0" applyNumberFormat="1" applyFont="1" applyFill="1" applyBorder="1" applyAlignment="1">
      <alignment horizontal="center"/>
    </xf>
    <xf numFmtId="0" fontId="152" fillId="0" borderId="0" xfId="0" applyNumberFormat="1" applyFont="1" applyFill="1" applyBorder="1"/>
    <xf numFmtId="42" fontId="153" fillId="0" borderId="0" xfId="0" applyNumberFormat="1" applyFont="1" applyFill="1" applyAlignment="1">
      <alignment horizontal="right"/>
    </xf>
    <xf numFmtId="41" fontId="153" fillId="0" borderId="0" xfId="0" applyNumberFormat="1" applyFont="1" applyFill="1" applyAlignment="1">
      <alignment horizontal="center"/>
    </xf>
    <xf numFmtId="41" fontId="153" fillId="0" borderId="0" xfId="0" applyNumberFormat="1" applyFont="1" applyFill="1" applyAlignment="1">
      <alignment horizontal="right"/>
    </xf>
    <xf numFmtId="41" fontId="151" fillId="0" borderId="0" xfId="0" applyNumberFormat="1" applyFont="1" applyFill="1" applyAlignment="1">
      <alignment horizontal="right"/>
    </xf>
    <xf numFmtId="41" fontId="151" fillId="0" borderId="0" xfId="0" applyNumberFormat="1" applyFont="1" applyFill="1" applyBorder="1" applyAlignment="1">
      <alignment horizontal="right"/>
    </xf>
    <xf numFmtId="41" fontId="153" fillId="0" borderId="0" xfId="0" quotePrefix="1" applyNumberFormat="1" applyFont="1" applyFill="1" applyAlignment="1">
      <alignment horizontal="right"/>
    </xf>
    <xf numFmtId="41" fontId="153" fillId="0" borderId="0" xfId="0" applyNumberFormat="1" applyFont="1" applyFill="1" applyBorder="1" applyAlignment="1">
      <alignment horizontal="right"/>
    </xf>
    <xf numFmtId="41" fontId="153" fillId="0" borderId="0" xfId="0" applyNumberFormat="1" applyFont="1" applyFill="1" applyBorder="1" applyAlignment="1">
      <alignment horizontal="center"/>
    </xf>
    <xf numFmtId="41" fontId="151" fillId="0" borderId="0" xfId="0" applyNumberFormat="1" applyFont="1" applyFill="1" applyAlignment="1">
      <alignment horizontal="center"/>
    </xf>
    <xf numFmtId="39" fontId="151" fillId="0" borderId="0" xfId="0" applyNumberFormat="1" applyFont="1" applyFill="1" applyAlignment="1">
      <alignment horizontal="right"/>
    </xf>
    <xf numFmtId="0" fontId="151" fillId="0" borderId="0" xfId="0" quotePrefix="1" applyNumberFormat="1" applyFont="1" applyFill="1"/>
    <xf numFmtId="37" fontId="151" fillId="0" borderId="0" xfId="0" applyNumberFormat="1" applyFont="1" applyFill="1"/>
    <xf numFmtId="0" fontId="151" fillId="0" borderId="0" xfId="0" applyNumberFormat="1" applyFont="1" applyFill="1" applyBorder="1"/>
    <xf numFmtId="0" fontId="152" fillId="0" borderId="0" xfId="0" applyNumberFormat="1" applyFont="1" applyFill="1" applyBorder="1" applyAlignment="1">
      <alignment horizontal="right"/>
    </xf>
    <xf numFmtId="0" fontId="152" fillId="0" borderId="0" xfId="0" applyNumberFormat="1" applyFont="1" applyFill="1" applyBorder="1" applyAlignment="1">
      <alignment horizontal="center"/>
    </xf>
    <xf numFmtId="42" fontId="153" fillId="0" borderId="0" xfId="0" applyNumberFormat="1" applyFont="1" applyFill="1" applyBorder="1" applyAlignment="1">
      <alignment horizontal="right"/>
    </xf>
    <xf numFmtId="0" fontId="151" fillId="0" borderId="0" xfId="0" applyNumberFormat="1" applyFont="1" applyFill="1" applyBorder="1" applyAlignment="1">
      <alignment horizontal="right"/>
    </xf>
    <xf numFmtId="44" fontId="104" fillId="0" borderId="0" xfId="831" applyNumberFormat="1" applyFont="1" applyFill="1" applyBorder="1" applyAlignment="1">
      <alignment horizontal="right" vertical="top"/>
    </xf>
    <xf numFmtId="44" fontId="104" fillId="0" borderId="0" xfId="831" applyNumberFormat="1" applyFont="1" applyFill="1" applyBorder="1" applyAlignment="1">
      <alignment horizontal="right"/>
    </xf>
    <xf numFmtId="178" fontId="24" fillId="0" borderId="0" xfId="1767" applyNumberFormat="1" applyFont="1" applyAlignment="1"/>
    <xf numFmtId="0" fontId="29" fillId="0" borderId="0" xfId="0" applyNumberFormat="1" applyFont="1" applyAlignment="1"/>
    <xf numFmtId="170" fontId="24" fillId="0" borderId="20" xfId="0" quotePrefix="1" applyNumberFormat="1" applyFont="1" applyBorder="1" applyAlignment="1" applyProtection="1">
      <alignment horizontal="right"/>
      <protection locked="0"/>
    </xf>
    <xf numFmtId="174" fontId="26" fillId="0" borderId="0" xfId="0" applyNumberFormat="1" applyFont="1" applyAlignment="1" applyProtection="1">
      <protection locked="0"/>
    </xf>
    <xf numFmtId="174" fontId="26" fillId="0" borderId="13" xfId="0" applyNumberFormat="1" applyFont="1" applyBorder="1" applyAlignment="1" applyProtection="1">
      <protection locked="0"/>
    </xf>
    <xf numFmtId="174" fontId="26" fillId="0" borderId="0" xfId="0" applyNumberFormat="1" applyFont="1" applyBorder="1" applyAlignment="1" applyProtection="1">
      <protection locked="0"/>
    </xf>
    <xf numFmtId="178" fontId="24" fillId="0" borderId="0" xfId="740" applyNumberFormat="1" applyFont="1" applyFill="1" applyBorder="1" applyAlignment="1">
      <alignment horizontal="right"/>
    </xf>
    <xf numFmtId="178" fontId="24" fillId="0" borderId="0" xfId="740" applyNumberFormat="1" applyFont="1" applyFill="1" applyAlignment="1">
      <alignment horizontal="right"/>
    </xf>
    <xf numFmtId="178" fontId="24" fillId="0" borderId="0" xfId="740" applyNumberFormat="1" applyFont="1" applyAlignment="1">
      <alignment horizontal="fill"/>
    </xf>
    <xf numFmtId="178" fontId="24" fillId="0" borderId="0" xfId="740" applyNumberFormat="1" applyFont="1" applyAlignment="1"/>
    <xf numFmtId="178" fontId="24" fillId="0" borderId="0" xfId="740" applyNumberFormat="1" applyFont="1" applyBorder="1" applyAlignment="1"/>
    <xf numFmtId="178" fontId="24" fillId="0" borderId="0" xfId="740" applyNumberFormat="1" applyFont="1" applyAlignment="1">
      <alignment horizontal="right"/>
    </xf>
    <xf numFmtId="178" fontId="24" fillId="0" borderId="0" xfId="740" applyNumberFormat="1" applyFont="1" applyBorder="1" applyAlignment="1">
      <alignment horizontal="right"/>
    </xf>
    <xf numFmtId="178" fontId="24" fillId="0" borderId="0" xfId="740" applyNumberFormat="1" applyFont="1" applyFill="1" applyAlignment="1"/>
    <xf numFmtId="181" fontId="24" fillId="0" borderId="0" xfId="740" applyNumberFormat="1" applyFont="1" applyFill="1" applyAlignment="1">
      <alignment horizontal="left"/>
    </xf>
    <xf numFmtId="178" fontId="24" fillId="0" borderId="0" xfId="740" applyNumberFormat="1" applyFont="1" applyFill="1" applyAlignment="1">
      <alignment horizontal="left"/>
    </xf>
    <xf numFmtId="178" fontId="24" fillId="0" borderId="0" xfId="740" quotePrefix="1" applyNumberFormat="1" applyFont="1" applyAlignment="1">
      <alignment horizontal="center"/>
    </xf>
    <xf numFmtId="178" fontId="24" fillId="0" borderId="0" xfId="740" applyNumberFormat="1" applyFont="1" applyAlignment="1">
      <alignment horizontal="center"/>
    </xf>
    <xf numFmtId="178" fontId="85" fillId="0" borderId="0" xfId="740" applyNumberFormat="1" applyFont="1"/>
    <xf numFmtId="178" fontId="24" fillId="0" borderId="0" xfId="740" quotePrefix="1" applyNumberFormat="1" applyFont="1" applyAlignment="1">
      <alignment horizontal="left"/>
    </xf>
    <xf numFmtId="178" fontId="24" fillId="0" borderId="0" xfId="740" applyNumberFormat="1" applyFont="1" applyBorder="1" applyAlignment="1">
      <alignment horizontal="center"/>
    </xf>
    <xf numFmtId="178" fontId="24" fillId="0" borderId="0" xfId="740" quotePrefix="1" applyNumberFormat="1" applyFont="1" applyFill="1" applyAlignment="1">
      <alignment horizontal="left"/>
    </xf>
    <xf numFmtId="178" fontId="24" fillId="0" borderId="0" xfId="740" applyNumberFormat="1" applyFont="1" applyFill="1" applyBorder="1" applyAlignment="1"/>
    <xf numFmtId="178" fontId="24" fillId="0" borderId="0" xfId="740" applyNumberFormat="1" applyFont="1" applyFill="1" applyBorder="1" applyAlignment="1">
      <alignment horizontal="center"/>
    </xf>
    <xf numFmtId="178" fontId="24" fillId="0" borderId="0" xfId="740" quotePrefix="1" applyNumberFormat="1" applyFont="1" applyFill="1" applyAlignment="1">
      <alignment horizontal="center"/>
    </xf>
    <xf numFmtId="173" fontId="24" fillId="0" borderId="0" xfId="740" quotePrefix="1" applyNumberFormat="1" applyFont="1" applyAlignment="1">
      <alignment horizontal="left"/>
    </xf>
    <xf numFmtId="173" fontId="24" fillId="0" borderId="0" xfId="740" applyNumberFormat="1" applyFont="1" applyAlignment="1"/>
    <xf numFmtId="178" fontId="85" fillId="0" borderId="0" xfId="740" applyNumberFormat="1" applyFont="1" applyAlignment="1">
      <alignment horizontal="left"/>
    </xf>
    <xf numFmtId="183" fontId="85" fillId="0" borderId="0" xfId="740" applyNumberFormat="1" applyFont="1"/>
    <xf numFmtId="43" fontId="24" fillId="0" borderId="0" xfId="741" applyFont="1" applyAlignment="1"/>
    <xf numFmtId="178" fontId="24" fillId="0" borderId="0" xfId="740" quotePrefix="1" applyNumberFormat="1" applyFont="1" applyAlignment="1"/>
    <xf numFmtId="182" fontId="24" fillId="0" borderId="0" xfId="740" applyNumberFormat="1" applyFont="1" applyAlignment="1">
      <alignment horizontal="right"/>
    </xf>
    <xf numFmtId="178" fontId="85" fillId="0" borderId="0" xfId="740" applyNumberFormat="1" applyFont="1" applyFill="1"/>
    <xf numFmtId="0" fontId="85" fillId="0" borderId="0" xfId="740" applyFont="1" applyFill="1"/>
    <xf numFmtId="182" fontId="24" fillId="0" borderId="0" xfId="740" applyNumberFormat="1" applyFont="1" applyFill="1" applyBorder="1" applyAlignment="1"/>
    <xf numFmtId="182" fontId="24" fillId="0" borderId="0" xfId="740" applyNumberFormat="1" applyFont="1" applyFill="1" applyAlignment="1"/>
    <xf numFmtId="0" fontId="24" fillId="0" borderId="0" xfId="740" quotePrefix="1" applyNumberFormat="1" applyFont="1" applyFill="1" applyAlignment="1">
      <alignment horizontal="left"/>
    </xf>
    <xf numFmtId="183" fontId="24" fillId="0" borderId="0" xfId="741" applyNumberFormat="1" applyFont="1" applyFill="1" applyBorder="1" applyAlignment="1"/>
    <xf numFmtId="164" fontId="0" fillId="0" borderId="69" xfId="2" applyNumberFormat="1" applyFont="1" applyBorder="1"/>
    <xf numFmtId="0" fontId="31" fillId="0" borderId="10" xfId="2" applyNumberFormat="1" applyFont="1" applyBorder="1" applyAlignment="1">
      <alignment horizontal="center"/>
    </xf>
    <xf numFmtId="175" fontId="31" fillId="0" borderId="10" xfId="4" quotePrefix="1" applyNumberFormat="1" applyFont="1" applyFill="1" applyBorder="1" applyAlignment="1">
      <alignment horizontal="center"/>
    </xf>
    <xf numFmtId="175" fontId="31" fillId="0" borderId="10" xfId="4" applyNumberFormat="1" applyFont="1" applyFill="1" applyBorder="1" applyAlignment="1">
      <alignment horizontal="center"/>
    </xf>
    <xf numFmtId="0" fontId="31" fillId="0" borderId="0" xfId="2" quotePrefix="1" applyNumberFormat="1" applyFont="1" applyBorder="1" applyAlignment="1">
      <alignment horizontal="center"/>
    </xf>
    <xf numFmtId="0" fontId="31" fillId="0" borderId="0" xfId="2" applyNumberFormat="1" applyFont="1" applyAlignment="1">
      <alignment horizontal="center"/>
    </xf>
    <xf numFmtId="17" fontId="31" fillId="0" borderId="0" xfId="2" quotePrefix="1" applyNumberFormat="1" applyFont="1" applyAlignment="1">
      <alignment horizontal="center"/>
    </xf>
    <xf numFmtId="15" fontId="31" fillId="0" borderId="0" xfId="2" quotePrefix="1" applyNumberFormat="1" applyFont="1" applyAlignment="1">
      <alignment horizontal="center"/>
    </xf>
    <xf numFmtId="0" fontId="31" fillId="0" borderId="0" xfId="2" applyNumberFormat="1" applyFont="1" applyFill="1" applyAlignment="1">
      <alignment horizontal="center"/>
    </xf>
    <xf numFmtId="0" fontId="31" fillId="0" borderId="0" xfId="2" quotePrefix="1" applyNumberFormat="1" applyFont="1" applyFill="1" applyAlignment="1">
      <alignment horizontal="center"/>
    </xf>
    <xf numFmtId="165" fontId="31" fillId="0" borderId="0" xfId="2" applyNumberFormat="1" applyFont="1" applyFill="1" applyAlignment="1"/>
    <xf numFmtId="17" fontId="31" fillId="0" borderId="0" xfId="2" applyNumberFormat="1" applyFont="1" applyFill="1" applyAlignment="1">
      <alignment horizontal="center"/>
    </xf>
    <xf numFmtId="15" fontId="31" fillId="0" borderId="0" xfId="2" applyNumberFormat="1" applyFont="1" applyFill="1" applyAlignment="1">
      <alignment horizontal="center"/>
    </xf>
    <xf numFmtId="0" fontId="31" fillId="0" borderId="10" xfId="2" quotePrefix="1" applyNumberFormat="1" applyFont="1" applyFill="1" applyBorder="1" applyAlignment="1">
      <alignment horizontal="center"/>
    </xf>
    <xf numFmtId="166" fontId="46" fillId="0" borderId="0" xfId="2" quotePrefix="1" applyNumberFormat="1" applyFont="1" applyAlignment="1">
      <alignment horizontal="center"/>
    </xf>
    <xf numFmtId="166" fontId="46" fillId="0" borderId="0" xfId="2" applyNumberFormat="1" applyFont="1" applyBorder="1" applyAlignment="1"/>
    <xf numFmtId="166" fontId="46" fillId="0" borderId="0" xfId="2" applyNumberFormat="1" applyFont="1" applyAlignment="1">
      <alignment horizontal="center"/>
    </xf>
    <xf numFmtId="171" fontId="46" fillId="0" borderId="0" xfId="2" quotePrefix="1" applyNumberFormat="1" applyFont="1" applyAlignment="1">
      <alignment horizontal="center"/>
    </xf>
    <xf numFmtId="166" fontId="46" fillId="0" borderId="10" xfId="2" applyNumberFormat="1" applyFont="1" applyBorder="1" applyAlignment="1">
      <alignment horizontal="center"/>
    </xf>
    <xf numFmtId="0" fontId="31" fillId="0" borderId="0" xfId="2" quotePrefix="1" applyNumberFormat="1" applyFont="1" applyAlignment="1">
      <alignment horizontal="center"/>
    </xf>
    <xf numFmtId="3" fontId="31" fillId="0" borderId="0" xfId="2" applyNumberFormat="1" applyFont="1" applyAlignment="1"/>
    <xf numFmtId="165" fontId="31" fillId="0" borderId="0" xfId="2" quotePrefix="1" applyNumberFormat="1" applyFont="1" applyAlignment="1">
      <alignment horizontal="center"/>
    </xf>
    <xf numFmtId="165" fontId="63" fillId="0" borderId="0" xfId="2" applyNumberFormat="1" applyFont="1"/>
    <xf numFmtId="166" fontId="31" fillId="0" borderId="0" xfId="2" applyNumberFormat="1" applyFont="1" applyBorder="1" applyAlignment="1">
      <alignment horizontal="center"/>
    </xf>
    <xf numFmtId="165" fontId="31" fillId="0" borderId="0" xfId="2" applyNumberFormat="1" applyFont="1" applyBorder="1" applyAlignment="1">
      <alignment horizontal="center"/>
    </xf>
    <xf numFmtId="3" fontId="31" fillId="0" borderId="0" xfId="2" applyNumberFormat="1" applyFont="1" applyAlignment="1">
      <alignment horizontal="center"/>
    </xf>
    <xf numFmtId="165" fontId="31" fillId="0" borderId="0" xfId="2" applyNumberFormat="1" applyFont="1" applyAlignment="1">
      <alignment horizontal="center"/>
    </xf>
    <xf numFmtId="1" fontId="31" fillId="0" borderId="10" xfId="2" quotePrefix="1" applyNumberFormat="1" applyFont="1" applyBorder="1" applyAlignment="1">
      <alignment horizontal="center"/>
    </xf>
    <xf numFmtId="1" fontId="31" fillId="0" borderId="0" xfId="2" quotePrefix="1" applyNumberFormat="1" applyFont="1" applyBorder="1" applyAlignment="1">
      <alignment horizontal="center"/>
    </xf>
    <xf numFmtId="166" fontId="31" fillId="0" borderId="10" xfId="2" applyNumberFormat="1" applyFont="1" applyBorder="1" applyAlignment="1">
      <alignment horizontal="center"/>
    </xf>
    <xf numFmtId="166" fontId="31" fillId="0" borderId="10" xfId="2" quotePrefix="1" applyNumberFormat="1" applyFont="1" applyBorder="1" applyAlignment="1">
      <alignment horizontal="center"/>
    </xf>
    <xf numFmtId="165" fontId="30" fillId="0" borderId="0" xfId="2" applyNumberFormat="1" applyFont="1" applyAlignment="1"/>
    <xf numFmtId="0" fontId="30" fillId="0" borderId="0" xfId="2" applyNumberFormat="1" applyFont="1" applyAlignment="1"/>
    <xf numFmtId="0" fontId="31" fillId="0" borderId="0" xfId="2" applyNumberFormat="1" applyFont="1" applyBorder="1" applyAlignment="1">
      <alignment horizontal="center"/>
    </xf>
    <xf numFmtId="165" fontId="31" fillId="0" borderId="10" xfId="2" applyNumberFormat="1" applyFont="1" applyBorder="1" applyAlignment="1">
      <alignment horizontal="center"/>
    </xf>
    <xf numFmtId="0" fontId="30" fillId="0" borderId="0" xfId="2" applyNumberFormat="1" applyFont="1" applyBorder="1" applyAlignment="1"/>
    <xf numFmtId="0" fontId="31" fillId="0" borderId="0" xfId="4" applyNumberFormat="1" applyFont="1" applyFill="1" applyAlignment="1">
      <alignment horizontal="center"/>
    </xf>
    <xf numFmtId="166" fontId="31" fillId="0" borderId="0" xfId="4" applyNumberFormat="1" applyFont="1" applyFill="1"/>
    <xf numFmtId="175" fontId="31" fillId="0" borderId="0" xfId="4" applyNumberFormat="1" applyFont="1" applyFill="1" applyBorder="1"/>
    <xf numFmtId="166" fontId="31" fillId="0" borderId="0" xfId="4" applyNumberFormat="1" applyFont="1" applyBorder="1" applyAlignment="1">
      <alignment horizontal="center"/>
    </xf>
    <xf numFmtId="165" fontId="31" fillId="0" borderId="0" xfId="4" applyNumberFormat="1" applyFont="1" applyBorder="1" applyAlignment="1"/>
    <xf numFmtId="165" fontId="31" fillId="0" borderId="0" xfId="4" applyNumberFormat="1" applyFont="1" applyBorder="1" applyAlignment="1">
      <alignment horizontal="center"/>
    </xf>
    <xf numFmtId="166" fontId="31" fillId="0" borderId="10" xfId="4" applyNumberFormat="1" applyFont="1" applyFill="1" applyBorder="1" applyAlignment="1">
      <alignment horizontal="center"/>
    </xf>
    <xf numFmtId="0" fontId="31" fillId="0" borderId="10" xfId="4" applyNumberFormat="1" applyFont="1" applyFill="1" applyBorder="1" applyAlignment="1">
      <alignment horizontal="center"/>
    </xf>
    <xf numFmtId="0" fontId="31" fillId="0" borderId="0" xfId="4" applyNumberFormat="1" applyFont="1" applyFill="1" applyBorder="1" applyAlignment="1">
      <alignment horizontal="center"/>
    </xf>
    <xf numFmtId="166" fontId="31" fillId="0" borderId="10" xfId="4" applyNumberFormat="1" applyFont="1" applyBorder="1" applyAlignment="1">
      <alignment horizontal="center"/>
    </xf>
    <xf numFmtId="165" fontId="31" fillId="0" borderId="0" xfId="4" applyNumberFormat="1" applyFont="1" applyAlignment="1"/>
    <xf numFmtId="165" fontId="154" fillId="0" borderId="0" xfId="2" applyNumberFormat="1" applyFont="1" applyAlignment="1"/>
    <xf numFmtId="165" fontId="155" fillId="0" borderId="0" xfId="2" applyNumberFormat="1" applyFont="1" applyAlignment="1"/>
    <xf numFmtId="165" fontId="156" fillId="0" borderId="0" xfId="2" applyNumberFormat="1" applyFont="1" applyAlignment="1">
      <alignment horizontal="centerContinuous"/>
    </xf>
    <xf numFmtId="0" fontId="157" fillId="0" borderId="0" xfId="2" applyFont="1" applyBorder="1" applyAlignment="1"/>
    <xf numFmtId="165" fontId="158" fillId="0" borderId="0" xfId="2" applyNumberFormat="1" applyFont="1" applyAlignment="1"/>
    <xf numFmtId="165" fontId="158" fillId="0" borderId="0" xfId="2" applyNumberFormat="1" applyFont="1" applyBorder="1" applyAlignment="1"/>
    <xf numFmtId="0" fontId="31" fillId="0" borderId="10" xfId="2" applyNumberFormat="1" applyFont="1" applyFill="1" applyBorder="1" applyAlignment="1">
      <alignment horizontal="center"/>
    </xf>
    <xf numFmtId="0" fontId="31" fillId="0" borderId="0" xfId="2" applyNumberFormat="1" applyFont="1" applyFill="1" applyBorder="1" applyAlignment="1">
      <alignment horizontal="center"/>
    </xf>
    <xf numFmtId="0" fontId="157" fillId="0" borderId="0" xfId="2" applyFont="1"/>
    <xf numFmtId="166" fontId="68" fillId="0" borderId="0" xfId="2" applyNumberFormat="1" applyFont="1" applyAlignment="1"/>
    <xf numFmtId="166" fontId="67" fillId="0" borderId="0" xfId="2" quotePrefix="1" applyNumberFormat="1" applyFont="1" applyAlignment="1">
      <alignment horizontal="center"/>
    </xf>
    <xf numFmtId="166" fontId="67" fillId="0" borderId="0" xfId="2" applyNumberFormat="1" applyFont="1" applyAlignment="1">
      <alignment horizontal="center"/>
    </xf>
    <xf numFmtId="164" fontId="31" fillId="0" borderId="0" xfId="0" applyFont="1" applyAlignment="1">
      <alignment horizontal="center"/>
    </xf>
    <xf numFmtId="0" fontId="54" fillId="0" borderId="0" xfId="0" applyNumberFormat="1" applyFont="1" applyAlignment="1">
      <alignment horizontal="center"/>
    </xf>
    <xf numFmtId="164" fontId="54" fillId="0" borderId="0" xfId="0" applyFont="1" applyAlignment="1">
      <alignment horizontal="center"/>
    </xf>
    <xf numFmtId="164" fontId="54" fillId="0" borderId="69" xfId="0" applyFont="1" applyBorder="1" applyAlignment="1">
      <alignment horizontal="center"/>
    </xf>
    <xf numFmtId="0" fontId="54" fillId="0" borderId="0" xfId="2" quotePrefix="1" applyNumberFormat="1" applyFont="1" applyAlignment="1">
      <alignment horizontal="center"/>
    </xf>
    <xf numFmtId="0" fontId="54" fillId="0" borderId="0" xfId="2" applyNumberFormat="1" applyFont="1" applyBorder="1" applyAlignment="1"/>
    <xf numFmtId="0" fontId="54" fillId="0" borderId="0" xfId="2" applyNumberFormat="1" applyFont="1" applyAlignment="1">
      <alignment horizontal="center"/>
    </xf>
    <xf numFmtId="180" fontId="31" fillId="0" borderId="0" xfId="740" quotePrefix="1" applyNumberFormat="1" applyFont="1" applyBorder="1" applyAlignment="1">
      <alignment horizontal="center"/>
    </xf>
    <xf numFmtId="0" fontId="30" fillId="0" borderId="0" xfId="860" applyNumberFormat="1" applyFont="1" applyAlignment="1">
      <alignment horizontal="right"/>
    </xf>
    <xf numFmtId="178" fontId="29" fillId="0" borderId="0" xfId="740" applyNumberFormat="1" applyFont="1" applyFill="1" applyAlignment="1"/>
    <xf numFmtId="0" fontId="30" fillId="0" borderId="69" xfId="0" applyNumberFormat="1" applyFont="1" applyFill="1" applyBorder="1" applyAlignment="1" applyProtection="1">
      <alignment horizontal="center"/>
    </xf>
    <xf numFmtId="0" fontId="71" fillId="0" borderId="0" xfId="0" applyNumberFormat="1" applyFont="1" applyFill="1" applyAlignment="1">
      <alignment horizontal="right"/>
    </xf>
    <xf numFmtId="39" fontId="30" fillId="0" borderId="0" xfId="0" applyNumberFormat="1" applyFont="1" applyFill="1" applyAlignment="1">
      <alignment horizontal="right"/>
    </xf>
    <xf numFmtId="7" fontId="29" fillId="0" borderId="0" xfId="0" applyNumberFormat="1" applyFont="1" applyFill="1" applyAlignment="1">
      <alignment horizontal="right" vertical="top"/>
    </xf>
    <xf numFmtId="39" fontId="27" fillId="0" borderId="0" xfId="0" applyNumberFormat="1" applyFont="1" applyFill="1" applyAlignment="1">
      <alignment horizontal="right"/>
    </xf>
    <xf numFmtId="4" fontId="29" fillId="0" borderId="0" xfId="0" quotePrefix="1" applyNumberFormat="1" applyFont="1" applyFill="1" applyAlignment="1">
      <alignment horizontal="right"/>
    </xf>
    <xf numFmtId="39" fontId="29" fillId="0" borderId="0" xfId="0" quotePrefix="1" applyNumberFormat="1" applyFont="1" applyFill="1" applyAlignment="1"/>
    <xf numFmtId="39" fontId="30" fillId="0" borderId="0" xfId="0" applyNumberFormat="1" applyFont="1" applyFill="1" applyAlignment="1">
      <alignment horizontal="right" vertical="top"/>
    </xf>
    <xf numFmtId="7" fontId="30" fillId="0" borderId="0" xfId="0" applyNumberFormat="1" applyFont="1" applyFill="1"/>
    <xf numFmtId="0" fontId="24" fillId="0" borderId="0" xfId="0" applyNumberFormat="1" applyFont="1" applyFill="1" applyBorder="1"/>
    <xf numFmtId="0" fontId="24" fillId="0" borderId="0" xfId="0" applyNumberFormat="1" applyFont="1" applyFill="1"/>
    <xf numFmtId="0" fontId="30" fillId="0" borderId="0" xfId="0" quotePrefix="1" applyNumberFormat="1" applyFont="1" applyFill="1" applyAlignment="1"/>
    <xf numFmtId="0" fontId="30" fillId="0" borderId="0" xfId="0" applyNumberFormat="1" applyFont="1" applyFill="1" applyAlignment="1">
      <alignment horizontal="right" vertical="top"/>
    </xf>
    <xf numFmtId="39" fontId="30" fillId="0" borderId="0" xfId="0" applyNumberFormat="1" applyFont="1" applyFill="1" applyAlignment="1">
      <alignment horizontal="center" vertical="top"/>
    </xf>
    <xf numFmtId="7" fontId="30" fillId="0" borderId="0" xfId="0" applyNumberFormat="1" applyFont="1" applyFill="1" applyAlignment="1">
      <alignment horizontal="right" vertical="top"/>
    </xf>
    <xf numFmtId="39" fontId="30" fillId="0" borderId="0" xfId="0" applyNumberFormat="1" applyFont="1" applyFill="1"/>
    <xf numFmtId="49" fontId="29" fillId="0" borderId="0" xfId="0" applyNumberFormat="1" applyFont="1" applyFill="1" applyAlignment="1">
      <alignment horizontal="left" vertical="top"/>
    </xf>
    <xf numFmtId="0" fontId="29" fillId="0" borderId="0" xfId="0" applyNumberFormat="1" applyFont="1" applyFill="1" applyBorder="1" applyAlignment="1"/>
    <xf numFmtId="0" fontId="29" fillId="0" borderId="0" xfId="0" applyNumberFormat="1" applyFont="1" applyFill="1" applyBorder="1" applyAlignment="1">
      <alignment horizontal="center" vertical="top"/>
    </xf>
    <xf numFmtId="188" fontId="29" fillId="0" borderId="0" xfId="0" applyNumberFormat="1" applyFont="1" applyFill="1" applyAlignment="1">
      <alignment horizontal="center" vertical="top"/>
    </xf>
    <xf numFmtId="39" fontId="29" fillId="0" borderId="0" xfId="0" applyNumberFormat="1" applyFont="1" applyFill="1" applyBorder="1"/>
    <xf numFmtId="39" fontId="29" fillId="0" borderId="0" xfId="0" applyNumberFormat="1" applyFont="1" applyFill="1" applyBorder="1" applyAlignment="1">
      <alignment horizontal="center"/>
    </xf>
    <xf numFmtId="39" fontId="29" fillId="0" borderId="0" xfId="0" applyNumberFormat="1" applyFont="1" applyFill="1" applyBorder="1" applyAlignment="1">
      <alignment horizontal="right"/>
    </xf>
    <xf numFmtId="39" fontId="29" fillId="0" borderId="0" xfId="0" quotePrefix="1" applyNumberFormat="1" applyFont="1" applyFill="1" applyBorder="1" applyAlignment="1">
      <alignment horizontal="center"/>
    </xf>
    <xf numFmtId="39" fontId="30" fillId="0" borderId="0" xfId="0" applyNumberFormat="1" applyFont="1" applyFill="1" applyBorder="1" applyAlignment="1">
      <alignment horizontal="center" vertical="top"/>
    </xf>
    <xf numFmtId="188" fontId="29" fillId="0" borderId="0" xfId="0" applyNumberFormat="1" applyFont="1" applyFill="1" applyAlignment="1">
      <alignment horizontal="right" vertical="top"/>
    </xf>
    <xf numFmtId="0" fontId="151" fillId="0" borderId="0" xfId="0" applyNumberFormat="1" applyFont="1" applyFill="1" applyAlignment="1"/>
    <xf numFmtId="0" fontId="152" fillId="0" borderId="0" xfId="0" applyNumberFormat="1" applyFont="1" applyFill="1" applyAlignment="1">
      <alignment horizontal="left" vertical="top"/>
    </xf>
    <xf numFmtId="0" fontId="151" fillId="0" borderId="0" xfId="0" quotePrefix="1" applyNumberFormat="1" applyFont="1" applyFill="1" applyAlignment="1"/>
    <xf numFmtId="0" fontId="152" fillId="0" borderId="0" xfId="0" applyNumberFormat="1" applyFont="1" applyFill="1" applyAlignment="1">
      <alignment horizontal="center" vertical="top"/>
    </xf>
    <xf numFmtId="0" fontId="152" fillId="0" borderId="0" xfId="0" applyNumberFormat="1" applyFont="1" applyFill="1" applyAlignment="1">
      <alignment horizontal="centerContinuous" vertical="top"/>
    </xf>
    <xf numFmtId="39" fontId="151" fillId="0" borderId="0" xfId="0" quotePrefix="1" applyNumberFormat="1" applyFont="1" applyFill="1" applyBorder="1" applyAlignment="1"/>
    <xf numFmtId="39" fontId="153" fillId="0" borderId="0" xfId="0" quotePrefix="1" applyNumberFormat="1" applyFont="1" applyFill="1" applyBorder="1" applyAlignment="1"/>
    <xf numFmtId="39" fontId="151" fillId="0" borderId="0" xfId="0" applyNumberFormat="1" applyFont="1" applyFill="1" applyBorder="1" applyAlignment="1"/>
    <xf numFmtId="0" fontId="153" fillId="0" borderId="0" xfId="0" applyNumberFormat="1" applyFont="1" applyFill="1" applyBorder="1" applyAlignment="1"/>
    <xf numFmtId="0" fontId="151" fillId="0" borderId="0" xfId="0" applyNumberFormat="1" applyFont="1" applyFill="1" applyBorder="1" applyAlignment="1"/>
    <xf numFmtId="0" fontId="151" fillId="0" borderId="0" xfId="0" applyNumberFormat="1" applyFont="1" applyFill="1" applyBorder="1" applyAlignment="1">
      <alignment horizontal="left" vertical="top"/>
    </xf>
    <xf numFmtId="42" fontId="151" fillId="0" borderId="0" xfId="0" applyNumberFormat="1" applyFont="1" applyFill="1" applyAlignment="1">
      <alignment horizontal="left" vertical="top"/>
    </xf>
    <xf numFmtId="42" fontId="153" fillId="0" borderId="0" xfId="0" applyNumberFormat="1" applyFont="1" applyFill="1" applyAlignment="1">
      <alignment horizontal="left" vertical="top"/>
    </xf>
    <xf numFmtId="42" fontId="151" fillId="0" borderId="0" xfId="0" applyNumberFormat="1" applyFont="1" applyFill="1"/>
    <xf numFmtId="42" fontId="153" fillId="0" borderId="0" xfId="0" applyNumberFormat="1" applyFont="1" applyFill="1" applyAlignment="1">
      <alignment horizontal="right" vertical="top"/>
    </xf>
    <xf numFmtId="0" fontId="153" fillId="0" borderId="0" xfId="0" applyNumberFormat="1" applyFont="1" applyFill="1" applyAlignment="1">
      <alignment horizontal="right"/>
    </xf>
    <xf numFmtId="41" fontId="153" fillId="0" borderId="0" xfId="0" applyNumberFormat="1" applyFont="1" applyFill="1" applyAlignment="1"/>
    <xf numFmtId="41" fontId="153" fillId="0" borderId="0" xfId="0" applyNumberFormat="1" applyFont="1" applyFill="1" applyAlignment="1">
      <alignment horizontal="center" vertical="top"/>
    </xf>
    <xf numFmtId="0" fontId="151" fillId="0" borderId="0" xfId="0" applyNumberFormat="1" applyFont="1" applyFill="1" applyAlignment="1">
      <alignment horizontal="left" vertical="top"/>
    </xf>
    <xf numFmtId="0" fontId="151" fillId="0" borderId="0" xfId="0" quotePrefix="1" applyNumberFormat="1" applyFont="1" applyFill="1" applyAlignment="1">
      <alignment horizontal="left" vertical="top"/>
    </xf>
    <xf numFmtId="0" fontId="151" fillId="0" borderId="0" xfId="0" quotePrefix="1" applyNumberFormat="1" applyFont="1" applyFill="1" applyBorder="1" applyAlignment="1"/>
    <xf numFmtId="41" fontId="153" fillId="0" borderId="0" xfId="0" applyNumberFormat="1" applyFont="1" applyFill="1" applyBorder="1" applyAlignment="1"/>
    <xf numFmtId="41" fontId="151" fillId="0" borderId="0" xfId="0" applyNumberFormat="1" applyFont="1" applyFill="1" applyAlignment="1"/>
    <xf numFmtId="41" fontId="151" fillId="0" borderId="0" xfId="0" applyNumberFormat="1" applyFont="1" applyFill="1" applyAlignment="1">
      <alignment horizontal="center" vertical="top"/>
    </xf>
    <xf numFmtId="0" fontId="153" fillId="0" borderId="0" xfId="0" applyNumberFormat="1" applyFont="1" applyFill="1" applyAlignment="1"/>
    <xf numFmtId="0" fontId="152" fillId="0" borderId="0" xfId="0" quotePrefix="1" applyNumberFormat="1" applyFont="1" applyFill="1" applyAlignment="1">
      <alignment horizontal="left" vertical="top"/>
    </xf>
    <xf numFmtId="41" fontId="153" fillId="0" borderId="0" xfId="0" applyNumberFormat="1" applyFont="1"/>
    <xf numFmtId="0" fontId="30" fillId="0" borderId="69" xfId="0" applyNumberFormat="1" applyFont="1" applyBorder="1" applyAlignment="1" applyProtection="1">
      <alignment horizontal="center"/>
    </xf>
    <xf numFmtId="0" fontId="30" fillId="0" borderId="69" xfId="0" applyNumberFormat="1" applyFont="1" applyBorder="1" applyAlignment="1">
      <alignment horizontal="center"/>
    </xf>
    <xf numFmtId="43" fontId="29" fillId="0" borderId="0" xfId="0" applyNumberFormat="1" applyFont="1" applyAlignment="1">
      <alignment horizontal="center"/>
    </xf>
    <xf numFmtId="43" fontId="29" fillId="0" borderId="0" xfId="0" applyNumberFormat="1" applyFont="1" applyAlignment="1">
      <alignment horizontal="right"/>
    </xf>
    <xf numFmtId="43" fontId="0" fillId="0" borderId="0" xfId="0" applyNumberFormat="1" applyAlignment="1">
      <alignment horizontal="right"/>
    </xf>
    <xf numFmtId="164" fontId="29" fillId="0" borderId="0" xfId="2" applyNumberFormat="1" applyFont="1" applyAlignment="1"/>
    <xf numFmtId="164" fontId="25" fillId="0" borderId="0" xfId="2" applyNumberFormat="1" applyFont="1" applyAlignment="1">
      <alignment horizontal="right"/>
    </xf>
    <xf numFmtId="164" fontId="27" fillId="0" borderId="0" xfId="2" applyNumberFormat="1" applyFont="1" applyAlignment="1"/>
    <xf numFmtId="164" fontId="29" fillId="0" borderId="10" xfId="2" applyNumberFormat="1" applyFont="1" applyBorder="1" applyAlignment="1"/>
    <xf numFmtId="164" fontId="30" fillId="0" borderId="0" xfId="2" applyNumberFormat="1" applyFont="1" applyAlignment="1"/>
    <xf numFmtId="164" fontId="31" fillId="0" borderId="0" xfId="2" applyNumberFormat="1" applyFont="1" applyAlignment="1">
      <alignment horizontal="center"/>
    </xf>
    <xf numFmtId="164" fontId="31" fillId="0" borderId="10" xfId="2" applyNumberFormat="1" applyFont="1" applyBorder="1" applyAlignment="1">
      <alignment horizontal="center"/>
    </xf>
    <xf numFmtId="175" fontId="24" fillId="0" borderId="0" xfId="4" applyNumberFormat="1" applyFont="1" applyFill="1"/>
    <xf numFmtId="170" fontId="29" fillId="0" borderId="0" xfId="2" applyNumberFormat="1" applyFont="1" applyBorder="1" applyAlignment="1"/>
    <xf numFmtId="181" fontId="24" fillId="0" borderId="0" xfId="740" applyNumberFormat="1" applyFont="1" applyFill="1" applyAlignment="1">
      <alignment horizontal="center"/>
    </xf>
    <xf numFmtId="43" fontId="24" fillId="0" borderId="0" xfId="0" applyNumberFormat="1" applyFont="1" applyFill="1" applyBorder="1" applyAlignment="1" applyProtection="1"/>
    <xf numFmtId="43" fontId="0" fillId="0" borderId="0" xfId="0" applyNumberFormat="1" applyAlignment="1"/>
    <xf numFmtId="0" fontId="0" fillId="0" borderId="0" xfId="0" applyNumberFormat="1" applyFont="1" applyFill="1" applyAlignment="1">
      <alignment horizontal="left" vertical="top" wrapText="1" readingOrder="1"/>
    </xf>
    <xf numFmtId="0" fontId="133" fillId="0" borderId="0" xfId="8" applyFont="1" applyAlignment="1">
      <alignment horizontal="center"/>
    </xf>
    <xf numFmtId="170" fontId="26" fillId="0" borderId="75" xfId="2" applyNumberFormat="1" applyFont="1" applyFill="1" applyBorder="1" applyAlignment="1"/>
    <xf numFmtId="170" fontId="0" fillId="0" borderId="28" xfId="2" applyNumberFormat="1" applyFont="1" applyFill="1" applyBorder="1" applyAlignment="1"/>
    <xf numFmtId="42" fontId="24" fillId="0" borderId="0" xfId="0" applyNumberFormat="1" applyFont="1" applyBorder="1" applyAlignment="1"/>
    <xf numFmtId="42" fontId="24" fillId="0" borderId="0" xfId="0" quotePrefix="1" applyNumberFormat="1" applyFont="1" applyBorder="1" applyAlignment="1">
      <alignment horizontal="right"/>
    </xf>
    <xf numFmtId="42" fontId="24" fillId="0" borderId="0" xfId="0" applyNumberFormat="1" applyFont="1" applyBorder="1" applyAlignment="1" applyProtection="1">
      <protection locked="0"/>
    </xf>
    <xf numFmtId="41" fontId="24" fillId="0" borderId="0" xfId="0" quotePrefix="1" applyNumberFormat="1" applyFont="1" applyBorder="1" applyAlignment="1">
      <alignment horizontal="right"/>
    </xf>
    <xf numFmtId="41" fontId="24" fillId="0" borderId="0" xfId="0" applyNumberFormat="1" applyFont="1" applyBorder="1" applyAlignment="1"/>
    <xf numFmtId="41" fontId="24" fillId="0" borderId="0" xfId="0" applyNumberFormat="1" applyFont="1" applyBorder="1" applyAlignment="1" applyProtection="1">
      <protection locked="0"/>
    </xf>
    <xf numFmtId="41" fontId="24" fillId="0" borderId="0" xfId="0" quotePrefix="1" applyNumberFormat="1" applyFont="1" applyBorder="1" applyAlignment="1">
      <alignment horizontal="center"/>
    </xf>
    <xf numFmtId="41" fontId="24" fillId="0" borderId="0" xfId="0" quotePrefix="1" applyNumberFormat="1" applyFont="1" applyBorder="1" applyAlignment="1"/>
    <xf numFmtId="41" fontId="24" fillId="0" borderId="0" xfId="0" applyNumberFormat="1" applyFont="1" applyBorder="1" applyAlignment="1">
      <alignment horizontal="center"/>
    </xf>
    <xf numFmtId="41" fontId="24" fillId="0" borderId="0" xfId="0" applyNumberFormat="1" applyFont="1" applyBorder="1" applyAlignment="1">
      <alignment horizontal="right"/>
    </xf>
    <xf numFmtId="41" fontId="24" fillId="0" borderId="69" xfId="0" quotePrefix="1" applyNumberFormat="1" applyFont="1" applyBorder="1" applyAlignment="1">
      <alignment horizontal="right"/>
    </xf>
    <xf numFmtId="41" fontId="24" fillId="0" borderId="69" xfId="0" quotePrefix="1" applyNumberFormat="1" applyFont="1" applyBorder="1" applyAlignment="1">
      <alignment horizontal="center"/>
    </xf>
    <xf numFmtId="41" fontId="24" fillId="0" borderId="0" xfId="0" applyNumberFormat="1" applyFont="1" applyBorder="1" applyAlignment="1" applyProtection="1">
      <alignment horizontal="right"/>
      <protection locked="0"/>
    </xf>
    <xf numFmtId="41" fontId="24" fillId="0" borderId="0" xfId="739" applyNumberFormat="1" applyFont="1" applyBorder="1" applyAlignment="1" applyProtection="1">
      <protection locked="0"/>
    </xf>
    <xf numFmtId="42" fontId="24" fillId="0" borderId="0" xfId="739" applyNumberFormat="1" applyFont="1" applyBorder="1" applyAlignment="1" applyProtection="1">
      <protection locked="0"/>
    </xf>
    <xf numFmtId="41" fontId="31" fillId="0" borderId="16" xfId="739" applyNumberFormat="1" applyFont="1" applyBorder="1" applyAlignment="1"/>
    <xf numFmtId="174" fontId="31" fillId="0" borderId="49" xfId="2" applyNumberFormat="1" applyFont="1" applyFill="1" applyBorder="1" applyAlignment="1">
      <alignment horizontal="right"/>
    </xf>
    <xf numFmtId="174" fontId="31" fillId="0" borderId="76" xfId="2" applyNumberFormat="1" applyFont="1" applyFill="1" applyBorder="1" applyAlignment="1"/>
    <xf numFmtId="170" fontId="26" fillId="0" borderId="28" xfId="2" applyNumberFormat="1" applyFont="1" applyBorder="1" applyAlignment="1"/>
    <xf numFmtId="170" fontId="35" fillId="0" borderId="0" xfId="2" applyNumberFormat="1" applyFont="1" applyBorder="1" applyAlignment="1"/>
    <xf numFmtId="170" fontId="35" fillId="0" borderId="21" xfId="2" applyNumberFormat="1" applyFont="1" applyBorder="1" applyAlignment="1"/>
    <xf numFmtId="170" fontId="26" fillId="0" borderId="75" xfId="2" applyNumberFormat="1" applyFont="1" applyBorder="1" applyAlignment="1"/>
    <xf numFmtId="0" fontId="54" fillId="0" borderId="0" xfId="836" quotePrefix="1" applyNumberFormat="1" applyFont="1" applyFill="1" applyAlignment="1"/>
    <xf numFmtId="43" fontId="29" fillId="0" borderId="0" xfId="0" applyNumberFormat="1" applyFont="1" applyFill="1"/>
    <xf numFmtId="43" fontId="29" fillId="0" borderId="0" xfId="0" applyNumberFormat="1" applyFont="1" applyFill="1" applyAlignment="1"/>
    <xf numFmtId="44" fontId="29" fillId="0" borderId="0" xfId="0" applyNumberFormat="1" applyFont="1" applyFill="1" applyAlignment="1">
      <alignment horizontal="right"/>
    </xf>
    <xf numFmtId="191" fontId="159" fillId="0" borderId="0" xfId="11" applyNumberFormat="1" applyFont="1" applyAlignment="1">
      <alignment horizontal="right"/>
    </xf>
    <xf numFmtId="42" fontId="152" fillId="0" borderId="35" xfId="0" applyNumberFormat="1" applyFont="1" applyFill="1" applyBorder="1" applyAlignment="1">
      <alignment horizontal="right" vertical="top"/>
    </xf>
    <xf numFmtId="42" fontId="152" fillId="0" borderId="0" xfId="0" applyNumberFormat="1" applyFont="1" applyFill="1" applyAlignment="1">
      <alignment horizontal="right" vertical="top"/>
    </xf>
    <xf numFmtId="42" fontId="152" fillId="0" borderId="0" xfId="0" applyNumberFormat="1" applyFont="1" applyFill="1" applyAlignment="1">
      <alignment horizontal="right"/>
    </xf>
    <xf numFmtId="42" fontId="152" fillId="0" borderId="0" xfId="0" applyNumberFormat="1" applyFont="1" applyFill="1" applyBorder="1" applyAlignment="1">
      <alignment horizontal="right"/>
    </xf>
    <xf numFmtId="0" fontId="54" fillId="0" borderId="0" xfId="0" applyNumberFormat="1" applyFont="1" applyFill="1" applyAlignment="1">
      <alignment horizontal="left" vertical="top"/>
    </xf>
    <xf numFmtId="178" fontId="54" fillId="0" borderId="0" xfId="740" applyNumberFormat="1" applyFont="1" applyAlignment="1"/>
    <xf numFmtId="178" fontId="54" fillId="0" borderId="0" xfId="740" quotePrefix="1" applyNumberFormat="1" applyFont="1" applyAlignment="1">
      <alignment horizontal="left"/>
    </xf>
    <xf numFmtId="178" fontId="54" fillId="0" borderId="0" xfId="740" quotePrefix="1" applyNumberFormat="1" applyFont="1" applyAlignment="1">
      <alignment horizontal="right"/>
    </xf>
    <xf numFmtId="0" fontId="54" fillId="0" borderId="0" xfId="0" applyNumberFormat="1" applyFont="1" applyFill="1" applyAlignment="1">
      <alignment horizontal="right" vertical="top"/>
    </xf>
    <xf numFmtId="0" fontId="24" fillId="0" borderId="0" xfId="17" applyNumberFormat="1" applyFont="1" applyAlignment="1"/>
    <xf numFmtId="4" fontId="31" fillId="0" borderId="52" xfId="1028" applyNumberFormat="1" applyFont="1" applyBorder="1" applyAlignment="1"/>
    <xf numFmtId="187" fontId="31" fillId="0" borderId="52" xfId="0" applyNumberFormat="1" applyFont="1" applyBorder="1" applyAlignment="1" applyProtection="1">
      <alignment horizontal="center"/>
      <protection locked="0"/>
    </xf>
    <xf numFmtId="39" fontId="31" fillId="0" borderId="52" xfId="0" applyNumberFormat="1" applyFont="1" applyBorder="1" applyAlignment="1">
      <alignment horizontal="center"/>
    </xf>
    <xf numFmtId="4" fontId="0" fillId="0" borderId="0" xfId="0" applyNumberFormat="1" applyAlignment="1" applyProtection="1">
      <alignment horizontal="right"/>
      <protection locked="0"/>
    </xf>
    <xf numFmtId="39" fontId="31" fillId="0" borderId="0" xfId="0" applyNumberFormat="1" applyFont="1" applyAlignment="1">
      <alignment horizontal="center"/>
    </xf>
    <xf numFmtId="0" fontId="89" fillId="0" borderId="0" xfId="0" applyNumberFormat="1" applyFont="1" applyBorder="1"/>
    <xf numFmtId="0" fontId="89" fillId="0" borderId="0" xfId="0" applyNumberFormat="1" applyFont="1" applyBorder="1" applyAlignment="1" applyProtection="1"/>
    <xf numFmtId="164" fontId="31" fillId="0" borderId="0" xfId="0" applyFont="1" applyAlignment="1" applyProtection="1">
      <alignment horizontal="right"/>
      <protection locked="0"/>
    </xf>
    <xf numFmtId="164" fontId="0" fillId="0" borderId="0" xfId="0" applyProtection="1">
      <protection locked="0"/>
    </xf>
    <xf numFmtId="164" fontId="31" fillId="0" borderId="0" xfId="0" applyFont="1" applyAlignment="1">
      <alignment horizontal="right"/>
    </xf>
    <xf numFmtId="43" fontId="0" fillId="0" borderId="0" xfId="0" applyNumberFormat="1" applyAlignment="1" applyProtection="1">
      <alignment horizontal="right"/>
      <protection locked="0"/>
    </xf>
    <xf numFmtId="4" fontId="24" fillId="0" borderId="0" xfId="0" applyNumberFormat="1" applyFont="1" applyAlignment="1">
      <alignment horizontal="center"/>
    </xf>
    <xf numFmtId="1" fontId="24" fillId="0" borderId="0" xfId="1028" quotePrefix="1" applyNumberFormat="1" applyFont="1" applyAlignment="1"/>
    <xf numFmtId="4" fontId="31" fillId="0" borderId="0" xfId="0" applyNumberFormat="1" applyFont="1"/>
    <xf numFmtId="0" fontId="85" fillId="0" borderId="0" xfId="0" applyNumberFormat="1" applyFont="1"/>
    <xf numFmtId="0" fontId="85" fillId="0" borderId="0" xfId="1028" quotePrefix="1" applyNumberFormat="1" applyFont="1" applyFill="1" applyBorder="1" applyAlignment="1"/>
    <xf numFmtId="43" fontId="24" fillId="0" borderId="0" xfId="1028" applyNumberFormat="1" applyFont="1" applyBorder="1" applyAlignment="1" applyProtection="1">
      <alignment horizontal="right"/>
      <protection locked="0"/>
    </xf>
    <xf numFmtId="43" fontId="24" fillId="0" borderId="0" xfId="1028" applyNumberFormat="1" applyFont="1" applyBorder="1" applyAlignment="1" applyProtection="1">
      <alignment horizontal="right"/>
    </xf>
    <xf numFmtId="164" fontId="24" fillId="0" borderId="0" xfId="0" applyFont="1" applyProtection="1"/>
    <xf numFmtId="4" fontId="31" fillId="36" borderId="59" xfId="0" applyNumberFormat="1" applyFont="1" applyFill="1" applyBorder="1" applyAlignment="1">
      <alignment horizontal="center"/>
    </xf>
    <xf numFmtId="4" fontId="31" fillId="0" borderId="0" xfId="0" applyNumberFormat="1" applyFont="1" applyAlignment="1">
      <alignment horizontal="center"/>
    </xf>
    <xf numFmtId="43" fontId="31" fillId="0" borderId="0" xfId="0" applyNumberFormat="1" applyFont="1" applyAlignment="1">
      <alignment horizontal="right"/>
    </xf>
    <xf numFmtId="43" fontId="24" fillId="0" borderId="0" xfId="0" applyNumberFormat="1" applyFont="1" applyAlignment="1" applyProtection="1">
      <alignment horizontal="right"/>
      <protection locked="0"/>
    </xf>
    <xf numFmtId="4" fontId="24" fillId="0" borderId="0" xfId="0" applyNumberFormat="1" applyFont="1"/>
    <xf numFmtId="0" fontId="110" fillId="0" borderId="0" xfId="1028" quotePrefix="1" applyNumberFormat="1" applyFont="1" applyBorder="1" applyAlignment="1">
      <alignment horizontal="left"/>
    </xf>
    <xf numFmtId="0" fontId="85" fillId="0" borderId="0" xfId="1028" quotePrefix="1" applyNumberFormat="1" applyFont="1" applyAlignment="1"/>
    <xf numFmtId="4" fontId="24" fillId="0" borderId="0" xfId="1028" quotePrefix="1" applyNumberFormat="1" applyFont="1" applyBorder="1" applyAlignment="1">
      <alignment horizontal="right"/>
    </xf>
    <xf numFmtId="4" fontId="24" fillId="0" borderId="0" xfId="1028" quotePrefix="1" applyNumberFormat="1" applyFont="1" applyAlignment="1">
      <alignment horizontal="center"/>
    </xf>
    <xf numFmtId="4" fontId="24" fillId="0" borderId="0" xfId="1028" applyNumberFormat="1" applyFont="1" applyBorder="1" applyAlignment="1">
      <alignment horizontal="centerContinuous"/>
    </xf>
    <xf numFmtId="37" fontId="31" fillId="0" borderId="0" xfId="1028" applyNumberFormat="1" applyFont="1" applyBorder="1" applyAlignment="1">
      <alignment horizontal="center"/>
    </xf>
    <xf numFmtId="4" fontId="24" fillId="0" borderId="0" xfId="0" applyNumberFormat="1" applyFont="1" applyAlignment="1">
      <alignment horizontal="left"/>
    </xf>
    <xf numFmtId="1" fontId="24" fillId="0" borderId="0" xfId="1028" quotePrefix="1" applyNumberFormat="1" applyFont="1" applyFill="1" applyBorder="1" applyAlignment="1">
      <alignment horizontal="center"/>
    </xf>
    <xf numFmtId="43" fontId="31" fillId="0" borderId="35" xfId="0" applyNumberFormat="1" applyFont="1" applyBorder="1" applyAlignment="1">
      <alignment horizontal="right"/>
    </xf>
    <xf numFmtId="43" fontId="31" fillId="0" borderId="0" xfId="0" applyNumberFormat="1" applyFont="1" applyAlignment="1" applyProtection="1">
      <alignment horizontal="right"/>
      <protection locked="0"/>
    </xf>
    <xf numFmtId="164" fontId="24" fillId="0" borderId="0" xfId="0" applyFont="1" applyProtection="1">
      <protection locked="0"/>
    </xf>
    <xf numFmtId="4" fontId="24" fillId="0" borderId="0" xfId="1028" applyNumberFormat="1" applyFont="1" applyFill="1" applyBorder="1" applyAlignment="1">
      <alignment horizontal="right"/>
    </xf>
    <xf numFmtId="43" fontId="24" fillId="0" borderId="0" xfId="0" applyNumberFormat="1" applyFont="1" applyAlignment="1">
      <alignment horizontal="right"/>
    </xf>
    <xf numFmtId="4" fontId="24" fillId="0" borderId="0" xfId="1028" quotePrefix="1" applyNumberFormat="1" applyFont="1" applyFill="1" applyAlignment="1">
      <alignment horizontal="left"/>
    </xf>
    <xf numFmtId="1" fontId="31" fillId="0" borderId="0" xfId="1028" quotePrefix="1" applyNumberFormat="1" applyFont="1" applyAlignment="1"/>
    <xf numFmtId="0" fontId="85" fillId="0" borderId="0" xfId="1028" applyNumberFormat="1" applyFont="1" applyBorder="1" applyAlignment="1"/>
    <xf numFmtId="0" fontId="31" fillId="0" borderId="0" xfId="1028" applyNumberFormat="1" applyFont="1" applyBorder="1" applyAlignment="1">
      <alignment horizontal="center"/>
    </xf>
    <xf numFmtId="0" fontId="89" fillId="0" borderId="0" xfId="0" applyNumberFormat="1" applyFont="1" applyAlignment="1"/>
    <xf numFmtId="0" fontId="109" fillId="0" borderId="0" xfId="1028" quotePrefix="1" applyNumberFormat="1" applyFont="1" applyAlignment="1"/>
    <xf numFmtId="7" fontId="31" fillId="0" borderId="0" xfId="0" applyNumberFormat="1" applyFont="1" applyAlignment="1" applyProtection="1">
      <alignment horizontal="right"/>
      <protection locked="0"/>
    </xf>
    <xf numFmtId="37" fontId="31" fillId="0" borderId="0" xfId="1028" applyNumberFormat="1" applyFont="1" applyAlignment="1">
      <alignment horizontal="right"/>
    </xf>
    <xf numFmtId="4" fontId="31" fillId="0" borderId="0" xfId="1028" applyNumberFormat="1" applyFont="1" applyBorder="1" applyAlignment="1" applyProtection="1">
      <alignment horizontal="left"/>
    </xf>
    <xf numFmtId="37" fontId="31" fillId="0" borderId="0" xfId="1028" applyNumberFormat="1" applyFont="1" applyBorder="1" applyAlignment="1" applyProtection="1">
      <alignment horizontal="right"/>
    </xf>
    <xf numFmtId="37" fontId="0" fillId="0" borderId="0" xfId="0" applyNumberFormat="1"/>
    <xf numFmtId="4" fontId="0" fillId="0" borderId="0" xfId="0" applyNumberFormat="1" applyAlignment="1">
      <alignment horizontal="left"/>
    </xf>
    <xf numFmtId="164" fontId="85" fillId="0" borderId="0" xfId="1028" applyNumberFormat="1" applyFont="1" applyBorder="1" applyAlignment="1" applyProtection="1"/>
    <xf numFmtId="164" fontId="85" fillId="0" borderId="0" xfId="0" applyNumberFormat="1" applyFont="1" applyAlignment="1"/>
    <xf numFmtId="4" fontId="89" fillId="0" borderId="0" xfId="0" applyNumberFormat="1" applyFont="1" applyAlignment="1">
      <alignment horizontal="left" vertical="top"/>
    </xf>
    <xf numFmtId="37" fontId="31" fillId="0" borderId="0" xfId="0" applyNumberFormat="1" applyFont="1" applyAlignment="1">
      <alignment horizontal="right" vertical="top"/>
    </xf>
    <xf numFmtId="37" fontId="31" fillId="0" borderId="0" xfId="0" applyNumberFormat="1" applyFont="1" applyBorder="1" applyAlignment="1">
      <alignment horizontal="right" vertical="top"/>
    </xf>
    <xf numFmtId="4" fontId="31" fillId="0" borderId="0" xfId="0" applyNumberFormat="1" applyFont="1" applyAlignment="1">
      <alignment horizontal="left" vertical="top"/>
    </xf>
    <xf numFmtId="4" fontId="31" fillId="0" borderId="0" xfId="0" applyNumberFormat="1" applyFont="1" applyBorder="1" applyAlignment="1">
      <alignment horizontal="left" vertical="top"/>
    </xf>
    <xf numFmtId="164" fontId="85" fillId="0" borderId="0" xfId="0" applyNumberFormat="1" applyFont="1"/>
    <xf numFmtId="164" fontId="85" fillId="0" borderId="0" xfId="0" applyNumberFormat="1" applyFont="1" applyBorder="1"/>
    <xf numFmtId="4" fontId="31" fillId="0" borderId="0" xfId="1028" applyNumberFormat="1" applyFont="1" applyFill="1" applyBorder="1" applyAlignment="1">
      <alignment horizontal="left"/>
    </xf>
    <xf numFmtId="164" fontId="24" fillId="0" borderId="0" xfId="0" applyNumberFormat="1" applyFont="1" applyAlignment="1"/>
    <xf numFmtId="164" fontId="24" fillId="0" borderId="0" xfId="0" applyNumberFormat="1" applyFont="1" applyBorder="1" applyAlignment="1"/>
    <xf numFmtId="4" fontId="89" fillId="0" borderId="0" xfId="0" applyNumberFormat="1" applyFont="1" applyBorder="1" applyAlignment="1" applyProtection="1">
      <alignment horizontal="left"/>
    </xf>
    <xf numFmtId="37" fontId="89" fillId="0" borderId="0" xfId="0" applyNumberFormat="1" applyFont="1" applyBorder="1" applyAlignment="1" applyProtection="1">
      <alignment horizontal="right"/>
    </xf>
    <xf numFmtId="164" fontId="85" fillId="0" borderId="0" xfId="0" applyNumberFormat="1" applyFont="1" applyBorder="1" applyAlignment="1" applyProtection="1"/>
    <xf numFmtId="37" fontId="89" fillId="0" borderId="0" xfId="0" applyNumberFormat="1" applyFont="1" applyAlignment="1">
      <alignment horizontal="right" vertical="top"/>
    </xf>
    <xf numFmtId="164" fontId="24" fillId="0" borderId="0" xfId="0" applyNumberFormat="1" applyFont="1"/>
    <xf numFmtId="37" fontId="31" fillId="0" borderId="0" xfId="841" applyNumberFormat="1" applyFont="1" applyAlignment="1">
      <alignment horizontal="right"/>
    </xf>
    <xf numFmtId="43" fontId="31" fillId="0" borderId="0" xfId="0" applyNumberFormat="1" applyFont="1" applyBorder="1" applyAlignment="1">
      <alignment horizontal="right"/>
    </xf>
    <xf numFmtId="0" fontId="142" fillId="0" borderId="0" xfId="1028" quotePrefix="1" applyNumberFormat="1" applyFont="1" applyAlignment="1">
      <alignment horizontal="right"/>
    </xf>
    <xf numFmtId="166" fontId="24" fillId="0" borderId="0" xfId="2" applyNumberFormat="1" applyFont="1" applyAlignment="1"/>
    <xf numFmtId="165" fontId="55" fillId="0" borderId="0" xfId="840" applyNumberFormat="1" applyFont="1" applyAlignment="1">
      <alignment horizontal="left"/>
    </xf>
    <xf numFmtId="0" fontId="55" fillId="0" borderId="0" xfId="840" applyNumberFormat="1" applyFont="1" applyAlignment="1">
      <alignment horizontal="left"/>
    </xf>
    <xf numFmtId="0" fontId="31" fillId="0" borderId="0" xfId="840" applyNumberFormat="1" applyFont="1" applyAlignment="1">
      <alignment horizontal="left"/>
    </xf>
    <xf numFmtId="0" fontId="24" fillId="0" borderId="0" xfId="840" applyNumberFormat="1" applyFont="1" applyAlignment="1">
      <alignment horizontal="left"/>
    </xf>
    <xf numFmtId="0" fontId="24" fillId="0" borderId="0" xfId="840" applyNumberFormat="1" applyFont="1" applyFill="1" applyAlignment="1">
      <alignment horizontal="left"/>
    </xf>
    <xf numFmtId="0" fontId="24" fillId="0" borderId="0" xfId="2" applyNumberFormat="1" applyFont="1" applyAlignment="1">
      <alignment horizontal="left"/>
    </xf>
    <xf numFmtId="3" fontId="26" fillId="0" borderId="0" xfId="2" applyNumberFormat="1" applyFont="1" applyAlignment="1">
      <alignment horizontal="left"/>
    </xf>
    <xf numFmtId="3" fontId="26" fillId="0" borderId="0" xfId="0" applyNumberFormat="1" applyFont="1" applyAlignment="1" applyProtection="1">
      <protection locked="0"/>
    </xf>
    <xf numFmtId="3" fontId="26" fillId="0" borderId="0" xfId="0" applyNumberFormat="1" applyFont="1" applyAlignment="1" applyProtection="1">
      <alignment horizontal="left"/>
      <protection locked="0"/>
    </xf>
    <xf numFmtId="3" fontId="26" fillId="0" borderId="0" xfId="0" applyNumberFormat="1" applyFont="1" applyAlignment="1"/>
    <xf numFmtId="3" fontId="24" fillId="0" borderId="0" xfId="0" applyNumberFormat="1" applyFont="1" applyAlignment="1">
      <alignment horizontal="left"/>
    </xf>
    <xf numFmtId="166" fontId="31" fillId="0" borderId="0" xfId="0" applyNumberFormat="1" applyFont="1" applyAlignment="1" applyProtection="1">
      <alignment horizontal="left"/>
      <protection locked="0"/>
    </xf>
    <xf numFmtId="166" fontId="31" fillId="0" borderId="0" xfId="0" applyNumberFormat="1" applyFont="1" applyFill="1" applyAlignment="1" applyProtection="1">
      <alignment horizontal="left"/>
      <protection locked="0"/>
    </xf>
    <xf numFmtId="0" fontId="54" fillId="0" borderId="0" xfId="2" applyNumberFormat="1" applyFont="1" applyFill="1" applyAlignment="1" applyProtection="1">
      <alignment horizontal="left"/>
      <protection locked="0"/>
    </xf>
    <xf numFmtId="37" fontId="54" fillId="0" borderId="0" xfId="2" applyNumberFormat="1" applyFont="1" applyFill="1" applyAlignment="1">
      <alignment horizontal="center"/>
    </xf>
    <xf numFmtId="37" fontId="54" fillId="0" borderId="0" xfId="2" quotePrefix="1" applyNumberFormat="1" applyFont="1" applyFill="1" applyAlignment="1">
      <alignment horizontal="center"/>
    </xf>
    <xf numFmtId="165" fontId="24" fillId="0" borderId="0" xfId="2" applyNumberFormat="1" applyFont="1" applyAlignment="1" applyProtection="1">
      <protection locked="0"/>
    </xf>
    <xf numFmtId="165" fontId="24" fillId="0" borderId="0" xfId="2" applyNumberFormat="1" applyFont="1" applyFill="1" applyAlignment="1" applyProtection="1">
      <protection locked="0"/>
    </xf>
    <xf numFmtId="165" fontId="24" fillId="0" borderId="0" xfId="2" applyNumberFormat="1" applyFont="1" applyProtection="1">
      <protection locked="0"/>
    </xf>
    <xf numFmtId="165" fontId="24" fillId="0" borderId="0" xfId="836" applyNumberFormat="1" applyFont="1" applyAlignment="1" applyProtection="1">
      <protection locked="0"/>
    </xf>
    <xf numFmtId="165" fontId="24" fillId="0" borderId="0" xfId="740" applyNumberFormat="1" applyFont="1" applyProtection="1">
      <protection locked="0"/>
    </xf>
    <xf numFmtId="165" fontId="24" fillId="0" borderId="0" xfId="0" applyNumberFormat="1" applyFont="1" applyFill="1" applyProtection="1">
      <protection locked="0"/>
    </xf>
    <xf numFmtId="165" fontId="24" fillId="0" borderId="0" xfId="17" applyNumberFormat="1" applyFont="1" applyAlignment="1" applyProtection="1">
      <protection locked="0"/>
    </xf>
    <xf numFmtId="165" fontId="24" fillId="0" borderId="0" xfId="0" applyNumberFormat="1" applyFont="1" applyProtection="1">
      <protection locked="0"/>
    </xf>
    <xf numFmtId="0" fontId="31" fillId="0" borderId="0" xfId="17" applyNumberFormat="1" applyFont="1" applyAlignment="1"/>
    <xf numFmtId="170" fontId="31" fillId="0" borderId="69" xfId="2" applyNumberFormat="1" applyFont="1" applyBorder="1" applyAlignment="1"/>
    <xf numFmtId="0" fontId="39" fillId="0" borderId="0" xfId="2" applyNumberFormat="1" applyFont="1" applyAlignment="1">
      <alignment horizontal="right"/>
    </xf>
    <xf numFmtId="0" fontId="39" fillId="0" borderId="0" xfId="2" applyNumberFormat="1" applyFont="1" applyAlignment="1"/>
    <xf numFmtId="0" fontId="39" fillId="0" borderId="0" xfId="2" applyNumberFormat="1" applyFont="1" applyAlignment="1">
      <alignment horizontal="left"/>
    </xf>
    <xf numFmtId="0" fontId="39" fillId="0" borderId="0" xfId="2" quotePrefix="1" applyNumberFormat="1" applyFont="1" applyAlignment="1">
      <alignment horizontal="left"/>
    </xf>
    <xf numFmtId="0" fontId="148" fillId="0" borderId="0" xfId="2" applyNumberFormat="1" applyFont="1" applyBorder="1" applyAlignment="1">
      <alignment horizontal="right"/>
    </xf>
    <xf numFmtId="0" fontId="49" fillId="0" borderId="0" xfId="2" applyNumberFormat="1" applyFont="1" applyBorder="1" applyAlignment="1"/>
    <xf numFmtId="0" fontId="54" fillId="0" borderId="0" xfId="2" quotePrefix="1" applyNumberFormat="1" applyFont="1" applyBorder="1" applyAlignment="1" applyProtection="1">
      <alignment horizontal="right"/>
      <protection locked="0"/>
    </xf>
    <xf numFmtId="0" fontId="148" fillId="0" borderId="0" xfId="2" applyNumberFormat="1" applyFont="1" applyAlignment="1"/>
    <xf numFmtId="0" fontId="54" fillId="0" borderId="10" xfId="2" applyNumberFormat="1" applyFont="1" applyBorder="1" applyAlignment="1">
      <alignment horizontal="center"/>
    </xf>
    <xf numFmtId="0" fontId="54" fillId="0" borderId="10" xfId="2" quotePrefix="1" applyNumberFormat="1" applyFont="1" applyBorder="1" applyAlignment="1">
      <alignment horizontal="center"/>
    </xf>
    <xf numFmtId="0" fontId="54" fillId="0" borderId="0" xfId="2" applyNumberFormat="1" applyFont="1" applyBorder="1" applyAlignment="1">
      <alignment horizontal="center"/>
    </xf>
    <xf numFmtId="174" fontId="54" fillId="0" borderId="20" xfId="2" quotePrefix="1" applyNumberFormat="1" applyFont="1" applyBorder="1" applyAlignment="1"/>
    <xf numFmtId="174" fontId="54" fillId="0" borderId="0" xfId="2" applyNumberFormat="1" applyFont="1" applyBorder="1" applyAlignment="1">
      <alignment horizontal="right"/>
    </xf>
    <xf numFmtId="174" fontId="54" fillId="0" borderId="20" xfId="2" quotePrefix="1" applyNumberFormat="1" applyFont="1" applyBorder="1" applyAlignment="1">
      <alignment horizontal="right"/>
    </xf>
    <xf numFmtId="174" fontId="54" fillId="0" borderId="24" xfId="2" applyNumberFormat="1" applyFont="1" applyBorder="1" applyAlignment="1" applyProtection="1">
      <protection locked="0"/>
    </xf>
    <xf numFmtId="174" fontId="54" fillId="0" borderId="21" xfId="2" applyNumberFormat="1" applyFont="1" applyBorder="1" applyAlignment="1" applyProtection="1">
      <protection locked="0"/>
    </xf>
    <xf numFmtId="174" fontId="54" fillId="0" borderId="0" xfId="2" applyNumberFormat="1" applyFont="1" applyBorder="1" applyAlignment="1" applyProtection="1">
      <protection locked="0"/>
    </xf>
    <xf numFmtId="174" fontId="49" fillId="0" borderId="0" xfId="2" applyNumberFormat="1" applyFont="1" applyAlignment="1"/>
    <xf numFmtId="174" fontId="49" fillId="0" borderId="0" xfId="2" applyNumberFormat="1" applyFont="1" applyAlignment="1" applyProtection="1">
      <protection locked="0"/>
    </xf>
    <xf numFmtId="175" fontId="49" fillId="0" borderId="24" xfId="2" applyNumberFormat="1" applyFont="1" applyBorder="1" applyAlignment="1" applyProtection="1">
      <protection locked="0"/>
    </xf>
    <xf numFmtId="175" fontId="49" fillId="0" borderId="21" xfId="2" applyNumberFormat="1" applyFont="1" applyBorder="1" applyAlignment="1" applyProtection="1">
      <protection locked="0"/>
    </xf>
    <xf numFmtId="175" fontId="49" fillId="0" borderId="0" xfId="2" applyNumberFormat="1" applyFont="1" applyAlignment="1" applyProtection="1">
      <protection locked="0"/>
    </xf>
    <xf numFmtId="0" fontId="49" fillId="0" borderId="0" xfId="2" quotePrefix="1" applyNumberFormat="1" applyFont="1" applyAlignment="1">
      <alignment horizontal="left"/>
    </xf>
    <xf numFmtId="170" fontId="49" fillId="0" borderId="10" xfId="2" quotePrefix="1" applyNumberFormat="1" applyFont="1" applyBorder="1" applyAlignment="1">
      <alignment horizontal="right"/>
    </xf>
    <xf numFmtId="170" fontId="49" fillId="0" borderId="0" xfId="2" applyNumberFormat="1" applyFont="1" applyBorder="1" applyAlignment="1" applyProtection="1">
      <protection locked="0"/>
    </xf>
    <xf numFmtId="170" fontId="49" fillId="0" borderId="0" xfId="2" applyNumberFormat="1" applyFont="1" applyAlignment="1" applyProtection="1">
      <protection locked="0"/>
    </xf>
    <xf numFmtId="170" fontId="49" fillId="0" borderId="24" xfId="2" applyNumberFormat="1" applyFont="1" applyBorder="1" applyAlignment="1" applyProtection="1">
      <protection locked="0"/>
    </xf>
    <xf numFmtId="170" fontId="49" fillId="0" borderId="21" xfId="2" applyNumberFormat="1" applyFont="1" applyBorder="1" applyAlignment="1" applyProtection="1">
      <protection locked="0"/>
    </xf>
    <xf numFmtId="170" fontId="54" fillId="0" borderId="20" xfId="2" applyNumberFormat="1" applyFont="1" applyBorder="1" applyAlignment="1">
      <alignment horizontal="right"/>
    </xf>
    <xf numFmtId="170" fontId="54" fillId="0" borderId="0" xfId="2" applyNumberFormat="1" applyFont="1" applyBorder="1" applyAlignment="1">
      <alignment horizontal="right"/>
    </xf>
    <xf numFmtId="170" fontId="54" fillId="0" borderId="0" xfId="2" applyNumberFormat="1" applyFont="1" applyAlignment="1" applyProtection="1">
      <protection locked="0"/>
    </xf>
    <xf numFmtId="170" fontId="54" fillId="0" borderId="24" xfId="2" applyNumberFormat="1" applyFont="1" applyBorder="1" applyAlignment="1" applyProtection="1">
      <protection locked="0"/>
    </xf>
    <xf numFmtId="170" fontId="54" fillId="0" borderId="21" xfId="2" applyNumberFormat="1" applyFont="1" applyBorder="1" applyAlignment="1" applyProtection="1">
      <protection locked="0"/>
    </xf>
    <xf numFmtId="170" fontId="49" fillId="0" borderId="20" xfId="2" applyNumberFormat="1" applyFont="1" applyBorder="1" applyAlignment="1" applyProtection="1">
      <protection locked="0"/>
    </xf>
    <xf numFmtId="170" fontId="49" fillId="0" borderId="20" xfId="2" applyNumberFormat="1" applyFont="1" applyBorder="1" applyAlignment="1" applyProtection="1">
      <alignment horizontal="right"/>
      <protection locked="0"/>
    </xf>
    <xf numFmtId="170" fontId="49" fillId="0" borderId="0" xfId="2" applyNumberFormat="1" applyFont="1" applyAlignment="1" applyProtection="1">
      <alignment horizontal="right"/>
      <protection locked="0"/>
    </xf>
    <xf numFmtId="170" fontId="49" fillId="0" borderId="24" xfId="2" applyNumberFormat="1" applyFont="1" applyBorder="1" applyAlignment="1" applyProtection="1">
      <alignment horizontal="center"/>
      <protection locked="0"/>
    </xf>
    <xf numFmtId="170" fontId="49" fillId="0" borderId="0" xfId="2" applyNumberFormat="1" applyFont="1" applyAlignment="1" applyProtection="1">
      <alignment horizontal="center"/>
      <protection locked="0"/>
    </xf>
    <xf numFmtId="170" fontId="49" fillId="0" borderId="0" xfId="2" quotePrefix="1" applyNumberFormat="1" applyFont="1" applyBorder="1" applyAlignment="1">
      <alignment horizontal="right"/>
    </xf>
    <xf numFmtId="170" fontId="49" fillId="0" borderId="10" xfId="2" quotePrefix="1" applyNumberFormat="1" applyFont="1" applyBorder="1" applyAlignment="1">
      <alignment horizontal="center"/>
    </xf>
    <xf numFmtId="170" fontId="54" fillId="0" borderId="0" xfId="2" quotePrefix="1" applyNumberFormat="1" applyFont="1" applyAlignment="1">
      <alignment horizontal="right"/>
    </xf>
    <xf numFmtId="170" fontId="54" fillId="0" borderId="10" xfId="2" quotePrefix="1" applyNumberFormat="1" applyFont="1" applyBorder="1" applyAlignment="1"/>
    <xf numFmtId="170" fontId="54" fillId="0" borderId="10" xfId="2" quotePrefix="1" applyNumberFormat="1" applyFont="1" applyBorder="1" applyAlignment="1">
      <alignment horizontal="right"/>
    </xf>
    <xf numFmtId="170" fontId="54" fillId="0" borderId="0" xfId="2" applyNumberFormat="1" applyFont="1" applyBorder="1" applyAlignment="1" applyProtection="1">
      <protection locked="0"/>
    </xf>
    <xf numFmtId="170" fontId="49" fillId="0" borderId="24" xfId="2" applyNumberFormat="1" applyFont="1" applyBorder="1" applyAlignment="1">
      <alignment horizontal="center"/>
    </xf>
    <xf numFmtId="170" fontId="49" fillId="0" borderId="0" xfId="2" applyNumberFormat="1" applyFont="1" applyBorder="1" applyAlignment="1">
      <alignment horizontal="center"/>
    </xf>
    <xf numFmtId="170" fontId="54" fillId="0" borderId="20" xfId="2" applyNumberFormat="1" applyFont="1" applyBorder="1" applyAlignment="1">
      <alignment horizontal="center"/>
    </xf>
    <xf numFmtId="170" fontId="54" fillId="0" borderId="0" xfId="2" applyNumberFormat="1" applyFont="1" applyAlignment="1" applyProtection="1">
      <alignment horizontal="right"/>
      <protection locked="0"/>
    </xf>
    <xf numFmtId="170" fontId="54" fillId="0" borderId="24" xfId="2" applyNumberFormat="1" applyFont="1" applyBorder="1" applyAlignment="1" applyProtection="1">
      <alignment horizontal="right"/>
      <protection locked="0"/>
    </xf>
    <xf numFmtId="170" fontId="54" fillId="0" borderId="0" xfId="2" applyNumberFormat="1" applyFont="1" applyBorder="1" applyAlignment="1" applyProtection="1">
      <alignment horizontal="right"/>
      <protection locked="0"/>
    </xf>
    <xf numFmtId="170" fontId="54" fillId="0" borderId="0" xfId="2" quotePrefix="1" applyNumberFormat="1" applyFont="1" applyBorder="1" applyAlignment="1">
      <alignment horizontal="right"/>
    </xf>
    <xf numFmtId="170" fontId="54" fillId="0" borderId="18" xfId="2" applyNumberFormat="1" applyFont="1" applyBorder="1" applyAlignment="1"/>
    <xf numFmtId="174" fontId="54" fillId="0" borderId="20" xfId="2" applyNumberFormat="1" applyFont="1" applyBorder="1" applyAlignment="1"/>
    <xf numFmtId="174" fontId="54" fillId="0" borderId="0" xfId="2" applyNumberFormat="1" applyFont="1" applyAlignment="1" applyProtection="1">
      <protection locked="0"/>
    </xf>
    <xf numFmtId="174" fontId="54" fillId="0" borderId="18" xfId="2" applyNumberFormat="1" applyFont="1" applyBorder="1" applyAlignment="1"/>
    <xf numFmtId="166" fontId="49" fillId="0" borderId="36" xfId="2" applyNumberFormat="1" applyFont="1" applyBorder="1" applyAlignment="1"/>
    <xf numFmtId="166" fontId="49" fillId="0" borderId="0" xfId="2" applyNumberFormat="1" applyFont="1" applyAlignment="1"/>
    <xf numFmtId="166" fontId="49" fillId="0" borderId="0" xfId="2" applyNumberFormat="1" applyFont="1" applyBorder="1" applyAlignment="1"/>
    <xf numFmtId="170" fontId="54" fillId="0" borderId="0" xfId="2" applyNumberFormat="1" applyFont="1" applyAlignment="1" applyProtection="1">
      <alignment horizontal="right"/>
    </xf>
    <xf numFmtId="170" fontId="49" fillId="0" borderId="69" xfId="2" quotePrefix="1" applyNumberFormat="1" applyFont="1" applyBorder="1" applyAlignment="1"/>
    <xf numFmtId="170" fontId="49" fillId="0" borderId="0" xfId="2" quotePrefix="1" applyNumberFormat="1" applyFont="1" applyBorder="1" applyAlignment="1"/>
    <xf numFmtId="170" fontId="54" fillId="0" borderId="0" xfId="2" quotePrefix="1" applyNumberFormat="1" applyFont="1" applyAlignment="1">
      <alignment horizontal="center"/>
    </xf>
    <xf numFmtId="170" fontId="54" fillId="0" borderId="0" xfId="2" applyNumberFormat="1" applyFont="1" applyAlignment="1">
      <alignment horizontal="center"/>
    </xf>
    <xf numFmtId="170" fontId="54" fillId="0" borderId="0" xfId="2" applyNumberFormat="1" applyFont="1" applyBorder="1" applyAlignment="1">
      <alignment horizontal="center"/>
    </xf>
    <xf numFmtId="170" fontId="54" fillId="0" borderId="0" xfId="2" applyNumberFormat="1" applyFont="1" applyAlignment="1" applyProtection="1">
      <alignment horizontal="center"/>
      <protection locked="0"/>
    </xf>
    <xf numFmtId="170" fontId="54" fillId="0" borderId="20" xfId="2" quotePrefix="1" applyNumberFormat="1" applyFont="1" applyBorder="1" applyAlignment="1">
      <alignment horizontal="center"/>
    </xf>
    <xf numFmtId="170" fontId="54" fillId="0" borderId="0" xfId="2" quotePrefix="1" applyNumberFormat="1" applyFont="1" applyBorder="1" applyAlignment="1">
      <alignment horizontal="center"/>
    </xf>
    <xf numFmtId="43" fontId="30" fillId="0" borderId="0" xfId="0" applyNumberFormat="1" applyFont="1" applyFill="1" applyAlignment="1">
      <alignment horizontal="center"/>
    </xf>
    <xf numFmtId="43" fontId="30" fillId="0" borderId="69" xfId="0" applyNumberFormat="1" applyFont="1" applyFill="1" applyBorder="1" applyAlignment="1">
      <alignment horizontal="center"/>
    </xf>
    <xf numFmtId="43" fontId="29" fillId="0" borderId="0" xfId="0" applyNumberFormat="1" applyFont="1" applyFill="1" applyBorder="1" applyAlignment="1"/>
    <xf numFmtId="43" fontId="30" fillId="0" borderId="0" xfId="0" applyNumberFormat="1" applyFont="1" applyFill="1"/>
    <xf numFmtId="43" fontId="29" fillId="0" borderId="0" xfId="0" applyNumberFormat="1" applyFont="1" applyFill="1" applyAlignment="1">
      <alignment horizontal="center" vertical="top"/>
    </xf>
    <xf numFmtId="43" fontId="29" fillId="0" borderId="0" xfId="0" applyNumberFormat="1" applyFont="1" applyFill="1" applyBorder="1" applyAlignment="1">
      <alignment horizontal="center"/>
    </xf>
    <xf numFmtId="43" fontId="30" fillId="0" borderId="0" xfId="0" applyNumberFormat="1" applyFont="1" applyFill="1" applyBorder="1" applyAlignment="1">
      <alignment horizontal="center" vertical="top"/>
    </xf>
    <xf numFmtId="43" fontId="29" fillId="0" borderId="0" xfId="0" applyNumberFormat="1" applyFont="1" applyFill="1" applyBorder="1"/>
    <xf numFmtId="0" fontId="0" fillId="0" borderId="0" xfId="17" applyNumberFormat="1" applyFont="1" applyBorder="1"/>
    <xf numFmtId="0" fontId="90" fillId="0" borderId="0" xfId="17" applyNumberFormat="1" applyFont="1" applyBorder="1"/>
    <xf numFmtId="0" fontId="95" fillId="0" borderId="0" xfId="17" applyNumberFormat="1" applyFont="1" applyBorder="1" applyAlignment="1" applyProtection="1">
      <protection locked="0"/>
    </xf>
    <xf numFmtId="0" fontId="95" fillId="0" borderId="0" xfId="17" applyNumberFormat="1" applyFont="1" applyBorder="1" applyAlignment="1"/>
    <xf numFmtId="0" fontId="95" fillId="0" borderId="0" xfId="17" applyNumberFormat="1" applyFont="1" applyBorder="1" applyAlignment="1">
      <alignment horizontal="center"/>
    </xf>
    <xf numFmtId="0" fontId="24" fillId="0" borderId="0" xfId="17" applyNumberFormat="1" applyFont="1" applyBorder="1" applyAlignment="1" applyProtection="1"/>
    <xf numFmtId="165" fontId="160" fillId="0" borderId="0" xfId="2" applyNumberFormat="1" applyFont="1" applyAlignment="1"/>
    <xf numFmtId="164" fontId="24" fillId="0" borderId="0" xfId="1028" applyNumberFormat="1" applyFont="1" applyBorder="1" applyAlignment="1"/>
    <xf numFmtId="164" fontId="24" fillId="0" borderId="0" xfId="1028" quotePrefix="1" applyNumberFormat="1" applyFont="1" applyBorder="1" applyAlignment="1"/>
    <xf numFmtId="164" fontId="24" fillId="0" borderId="0" xfId="1028" quotePrefix="1" applyNumberFormat="1" applyFont="1" applyAlignment="1"/>
    <xf numFmtId="164" fontId="24" fillId="0" borderId="0" xfId="1028" applyNumberFormat="1" applyFont="1" applyFill="1" applyBorder="1" applyAlignment="1"/>
    <xf numFmtId="0" fontId="53" fillId="0" borderId="0" xfId="1776" applyNumberFormat="1" applyFont="1" applyAlignment="1"/>
    <xf numFmtId="0" fontId="30" fillId="0" borderId="0" xfId="8" applyFont="1" applyAlignment="1">
      <alignment horizontal="right"/>
    </xf>
    <xf numFmtId="194" fontId="30" fillId="0" borderId="0" xfId="8" quotePrefix="1" applyNumberFormat="1" applyFont="1" applyAlignment="1">
      <alignment horizontal="right"/>
    </xf>
    <xf numFmtId="170" fontId="31" fillId="0" borderId="40" xfId="0" applyNumberFormat="1" applyFont="1" applyBorder="1" applyAlignment="1"/>
    <xf numFmtId="165" fontId="29" fillId="0" borderId="0" xfId="2" applyNumberFormat="1" applyFont="1" applyFill="1" applyAlignment="1"/>
    <xf numFmtId="165" fontId="24" fillId="0" borderId="0" xfId="2" applyNumberFormat="1" applyFont="1" applyFill="1" applyAlignment="1"/>
    <xf numFmtId="165" fontId="24" fillId="0" borderId="0" xfId="2" applyNumberFormat="1" applyFont="1" applyFill="1" applyAlignment="1">
      <alignment horizontal="centerContinuous"/>
    </xf>
    <xf numFmtId="0" fontId="63" fillId="0" borderId="0" xfId="2" applyNumberFormat="1" applyFont="1" applyFill="1" applyAlignment="1">
      <alignment horizontal="left"/>
    </xf>
    <xf numFmtId="166" fontId="24" fillId="0" borderId="0" xfId="2" applyNumberFormat="1" applyFont="1" applyFill="1" applyAlignment="1"/>
    <xf numFmtId="0" fontId="24" fillId="0" borderId="0" xfId="2" applyNumberFormat="1" applyFont="1" applyFill="1" applyAlignment="1">
      <alignment horizontal="left"/>
    </xf>
    <xf numFmtId="174" fontId="24" fillId="0" borderId="0" xfId="2" applyNumberFormat="1" applyFont="1" applyFill="1" applyAlignment="1">
      <alignment horizontal="right"/>
    </xf>
    <xf numFmtId="174" fontId="24" fillId="0" borderId="0" xfId="2" applyNumberFormat="1" applyFont="1" applyFill="1" applyAlignment="1"/>
    <xf numFmtId="170" fontId="24" fillId="0" borderId="0" xfId="2" applyNumberFormat="1" applyFont="1" applyFill="1" applyAlignment="1"/>
    <xf numFmtId="170" fontId="24" fillId="0" borderId="0" xfId="2" quotePrefix="1" applyNumberFormat="1" applyFont="1" applyFill="1" applyAlignment="1"/>
    <xf numFmtId="170" fontId="24" fillId="0" borderId="0" xfId="2" applyNumberFormat="1" applyFont="1" applyAlignment="1">
      <alignment horizontal="center"/>
    </xf>
    <xf numFmtId="170" fontId="26" fillId="0" borderId="69" xfId="2" applyNumberFormat="1" applyFont="1" applyBorder="1"/>
    <xf numFmtId="178" fontId="54" fillId="0" borderId="69" xfId="836" applyNumberFormat="1" applyFont="1" applyFill="1" applyBorder="1" applyAlignment="1">
      <alignment horizontal="right"/>
    </xf>
    <xf numFmtId="178" fontId="49" fillId="0" borderId="69" xfId="836" applyNumberFormat="1" applyFont="1" applyFill="1" applyBorder="1" applyAlignment="1"/>
    <xf numFmtId="43" fontId="29" fillId="0" borderId="0" xfId="0" applyNumberFormat="1" applyFont="1" applyAlignment="1"/>
    <xf numFmtId="44" fontId="29" fillId="0" borderId="0" xfId="0" applyNumberFormat="1" applyFont="1" applyAlignment="1"/>
    <xf numFmtId="0" fontId="29" fillId="0" borderId="14" xfId="0" applyNumberFormat="1" applyFont="1" applyFill="1" applyBorder="1" applyAlignment="1"/>
    <xf numFmtId="0" fontId="71" fillId="0" borderId="0" xfId="0" applyNumberFormat="1" applyFont="1" applyFill="1" applyAlignment="1"/>
    <xf numFmtId="39" fontId="70" fillId="0" borderId="0" xfId="0" applyNumberFormat="1" applyFont="1" applyFill="1" applyAlignment="1"/>
    <xf numFmtId="39" fontId="29" fillId="0" borderId="69" xfId="0" quotePrefix="1" applyNumberFormat="1" applyFont="1" applyFill="1" applyBorder="1" applyAlignment="1">
      <alignment horizontal="center"/>
    </xf>
    <xf numFmtId="0" fontId="30" fillId="0" borderId="0" xfId="0" applyNumberFormat="1" applyFont="1" applyFill="1" applyAlignment="1"/>
    <xf numFmtId="0" fontId="30" fillId="0" borderId="51" xfId="0" applyNumberFormat="1" applyFont="1" applyFill="1" applyBorder="1" applyAlignment="1"/>
    <xf numFmtId="42" fontId="84" fillId="0" borderId="17" xfId="739" applyNumberFormat="1" applyFont="1" applyBorder="1" applyAlignment="1"/>
    <xf numFmtId="42" fontId="84" fillId="0" borderId="0" xfId="0" applyNumberFormat="1" applyFont="1" applyBorder="1"/>
    <xf numFmtId="174" fontId="54" fillId="0" borderId="35" xfId="2" applyNumberFormat="1" applyFont="1" applyBorder="1" applyAlignment="1"/>
    <xf numFmtId="170" fontId="67" fillId="0" borderId="69" xfId="2" applyNumberFormat="1" applyFont="1" applyBorder="1" applyAlignment="1">
      <alignment horizontal="right"/>
    </xf>
    <xf numFmtId="164" fontId="31" fillId="0" borderId="69" xfId="2" applyNumberFormat="1" applyFont="1" applyBorder="1"/>
    <xf numFmtId="174" fontId="67" fillId="0" borderId="17" xfId="2" applyNumberFormat="1" applyFont="1" applyBorder="1" applyAlignment="1"/>
    <xf numFmtId="181" fontId="0" fillId="0" borderId="0" xfId="17" applyNumberFormat="1" applyFont="1"/>
    <xf numFmtId="184" fontId="26" fillId="0" borderId="0" xfId="0" applyNumberFormat="1" applyFont="1" applyBorder="1" applyAlignment="1" applyProtection="1">
      <protection locked="0"/>
    </xf>
    <xf numFmtId="164" fontId="26" fillId="0" borderId="69" xfId="0" applyNumberFormat="1" applyFont="1" applyBorder="1" applyAlignment="1" applyProtection="1">
      <protection locked="0"/>
    </xf>
    <xf numFmtId="166" fontId="31" fillId="0" borderId="10" xfId="0" quotePrefix="1" applyNumberFormat="1" applyFont="1" applyBorder="1" applyAlignment="1" applyProtection="1">
      <alignment horizontal="center"/>
    </xf>
    <xf numFmtId="17" fontId="31" fillId="0" borderId="69" xfId="2" quotePrefix="1" applyNumberFormat="1" applyFont="1" applyFill="1" applyBorder="1" applyAlignment="1">
      <alignment horizontal="center"/>
    </xf>
    <xf numFmtId="185" fontId="54" fillId="0" borderId="0" xfId="836" quotePrefix="1" applyNumberFormat="1" applyFont="1" applyAlignment="1">
      <alignment horizontal="center"/>
    </xf>
    <xf numFmtId="180" fontId="54" fillId="0" borderId="0" xfId="836" quotePrefix="1" applyNumberFormat="1" applyFont="1" applyAlignment="1">
      <alignment horizontal="center"/>
    </xf>
    <xf numFmtId="180" fontId="54" fillId="0" borderId="0" xfId="836" quotePrefix="1" applyNumberFormat="1" applyFont="1" applyFill="1" applyAlignment="1">
      <alignment horizontal="center"/>
    </xf>
    <xf numFmtId="182" fontId="54" fillId="0" borderId="0" xfId="836" quotePrefix="1" applyNumberFormat="1" applyFont="1" applyAlignment="1">
      <alignment horizontal="center"/>
    </xf>
    <xf numFmtId="0" fontId="24" fillId="0" borderId="0" xfId="2" quotePrefix="1" applyNumberFormat="1" applyFont="1" applyFill="1" applyBorder="1" applyAlignment="1">
      <alignment horizontal="left"/>
    </xf>
    <xf numFmtId="0" fontId="162" fillId="0" borderId="0" xfId="2" applyFont="1" applyBorder="1"/>
    <xf numFmtId="0" fontId="162" fillId="0" borderId="0" xfId="2" applyFont="1"/>
    <xf numFmtId="4" fontId="70" fillId="0" borderId="0" xfId="1773" applyNumberFormat="1" applyFont="1" applyFill="1" applyAlignment="1">
      <alignment horizontal="right"/>
    </xf>
    <xf numFmtId="4" fontId="30" fillId="0" borderId="0" xfId="1773" applyNumberFormat="1" applyFont="1" applyFill="1" applyAlignment="1">
      <alignment horizontal="right"/>
    </xf>
    <xf numFmtId="4" fontId="102" fillId="0" borderId="0" xfId="1773" applyNumberFormat="1" applyFont="1" applyFill="1" applyBorder="1"/>
    <xf numFmtId="4" fontId="102" fillId="0" borderId="0" xfId="1773" applyNumberFormat="1" applyFont="1" applyBorder="1"/>
    <xf numFmtId="44" fontId="102" fillId="0" borderId="0" xfId="1773" applyNumberFormat="1" applyFont="1" applyFill="1" applyBorder="1" applyAlignment="1">
      <alignment horizontal="center"/>
    </xf>
    <xf numFmtId="44" fontId="102" fillId="0" borderId="0" xfId="1773" applyNumberFormat="1" applyFont="1" applyFill="1" applyBorder="1"/>
    <xf numFmtId="43" fontId="102" fillId="0" borderId="0" xfId="1773" applyNumberFormat="1" applyFont="1" applyFill="1" applyBorder="1" applyAlignment="1">
      <alignment horizontal="center"/>
    </xf>
    <xf numFmtId="43" fontId="102" fillId="0" borderId="0" xfId="1773" applyNumberFormat="1" applyFont="1" applyFill="1" applyBorder="1" applyAlignment="1">
      <alignment horizontal="right"/>
    </xf>
    <xf numFmtId="43" fontId="102" fillId="0" borderId="0" xfId="1773" applyNumberFormat="1" applyFont="1" applyFill="1" applyBorder="1" applyAlignment="1"/>
    <xf numFmtId="43" fontId="102" fillId="0" borderId="0" xfId="1773" applyNumberFormat="1" applyFont="1" applyFill="1" applyBorder="1" applyAlignment="1">
      <alignment horizontal="center" vertical="top"/>
    </xf>
    <xf numFmtId="4" fontId="101" fillId="0" borderId="0" xfId="1773" applyNumberFormat="1" applyFont="1" applyFill="1" applyBorder="1"/>
    <xf numFmtId="43" fontId="102" fillId="0" borderId="0" xfId="1773" applyNumberFormat="1" applyFont="1" applyFill="1" applyBorder="1"/>
    <xf numFmtId="4" fontId="102" fillId="0" borderId="0" xfId="1773" applyNumberFormat="1" applyFont="1" applyFill="1"/>
    <xf numFmtId="4" fontId="102" fillId="0" borderId="0" xfId="1773" applyNumberFormat="1" applyFont="1"/>
    <xf numFmtId="44" fontId="101" fillId="0" borderId="17" xfId="1773" applyNumberFormat="1" applyFont="1" applyFill="1" applyBorder="1"/>
    <xf numFmtId="37" fontId="101" fillId="0" borderId="0" xfId="1773" applyNumberFormat="1" applyFont="1" applyFill="1" applyBorder="1"/>
    <xf numFmtId="4" fontId="101" fillId="0" borderId="0" xfId="1773" applyNumberFormat="1" applyFont="1" applyBorder="1"/>
    <xf numFmtId="4" fontId="36" fillId="0" borderId="0" xfId="1773" applyNumberFormat="1" applyFont="1"/>
    <xf numFmtId="4" fontId="107" fillId="0" borderId="0" xfId="1773" applyNumberFormat="1" applyFont="1"/>
    <xf numFmtId="4" fontId="24" fillId="0" borderId="0" xfId="1028" applyNumberFormat="1" applyFont="1" applyFill="1" applyAlignment="1">
      <alignment horizontal="center"/>
    </xf>
    <xf numFmtId="164" fontId="31" fillId="0" borderId="17" xfId="2" applyNumberFormat="1" applyFont="1" applyBorder="1"/>
    <xf numFmtId="0" fontId="67" fillId="0" borderId="0" xfId="2" quotePrefix="1" applyNumberFormat="1" applyFont="1" applyAlignment="1">
      <alignment horizontal="center"/>
    </xf>
    <xf numFmtId="0" fontId="31" fillId="0" borderId="0" xfId="840" quotePrefix="1" applyNumberFormat="1" applyFont="1" applyAlignment="1">
      <alignment horizontal="center"/>
    </xf>
    <xf numFmtId="170" fontId="24" fillId="0" borderId="0" xfId="1" quotePrefix="1" applyNumberFormat="1" applyFont="1" applyFill="1" applyAlignment="1">
      <alignment horizontal="center"/>
    </xf>
    <xf numFmtId="170" fontId="24" fillId="0" borderId="10" xfId="2" applyNumberFormat="1" applyFont="1" applyFill="1" applyBorder="1" applyAlignment="1">
      <alignment horizontal="right"/>
    </xf>
    <xf numFmtId="170" fontId="24" fillId="0" borderId="69" xfId="2" applyNumberFormat="1" applyFont="1" applyBorder="1" applyAlignment="1">
      <alignment horizontal="center"/>
    </xf>
    <xf numFmtId="164" fontId="24" fillId="0" borderId="0" xfId="0" applyNumberFormat="1" applyFont="1" applyBorder="1" applyAlignment="1" applyProtection="1">
      <protection locked="0"/>
    </xf>
    <xf numFmtId="0" fontId="164" fillId="0" borderId="0" xfId="0" applyNumberFormat="1" applyFont="1"/>
    <xf numFmtId="41" fontId="164" fillId="0" borderId="0" xfId="0" applyNumberFormat="1" applyFont="1"/>
    <xf numFmtId="41" fontId="164" fillId="0" borderId="0" xfId="0" applyNumberFormat="1" applyFont="1" applyFill="1"/>
    <xf numFmtId="41" fontId="164" fillId="0" borderId="0" xfId="0" applyNumberFormat="1" applyFont="1" applyAlignment="1"/>
    <xf numFmtId="41" fontId="164" fillId="0" borderId="0" xfId="0" applyNumberFormat="1" applyFont="1" applyAlignment="1">
      <alignment horizontal="right" vertical="top"/>
    </xf>
    <xf numFmtId="0" fontId="164" fillId="0" borderId="0" xfId="0" applyNumberFormat="1" applyFont="1" applyFill="1"/>
    <xf numFmtId="43" fontId="164" fillId="0" borderId="0" xfId="0" applyNumberFormat="1" applyFont="1" applyFill="1"/>
    <xf numFmtId="41" fontId="164" fillId="0" borderId="0" xfId="1773" applyNumberFormat="1" applyFont="1" applyFill="1"/>
    <xf numFmtId="41" fontId="164" fillId="0" borderId="0" xfId="0" applyNumberFormat="1" applyFont="1" applyFill="1" applyAlignment="1"/>
    <xf numFmtId="191" fontId="164" fillId="0" borderId="0" xfId="0" applyNumberFormat="1" applyFont="1"/>
    <xf numFmtId="191" fontId="164" fillId="0" borderId="0" xfId="0" applyNumberFormat="1" applyFont="1" applyAlignment="1"/>
    <xf numFmtId="0" fontId="164" fillId="0" borderId="0" xfId="0" quotePrefix="1" applyNumberFormat="1" applyFont="1" applyAlignment="1"/>
    <xf numFmtId="0" fontId="164" fillId="0" borderId="0" xfId="0" applyNumberFormat="1" applyFont="1" applyBorder="1" applyAlignment="1"/>
    <xf numFmtId="41" fontId="164" fillId="0" borderId="0" xfId="0" applyNumberFormat="1" applyFont="1" applyFill="1" applyBorder="1" applyAlignment="1"/>
    <xf numFmtId="0" fontId="164" fillId="0" borderId="0" xfId="0" applyNumberFormat="1" applyFont="1" applyFill="1" applyBorder="1" applyAlignment="1">
      <alignment horizontal="center" wrapText="1"/>
    </xf>
    <xf numFmtId="191" fontId="164" fillId="0" borderId="0" xfId="0" applyNumberFormat="1" applyFont="1" applyFill="1" applyBorder="1"/>
    <xf numFmtId="0" fontId="164" fillId="0" borderId="0" xfId="0" applyNumberFormat="1" applyFont="1" applyFill="1" applyBorder="1" applyAlignment="1"/>
    <xf numFmtId="49" fontId="164" fillId="0" borderId="0" xfId="0" applyNumberFormat="1" applyFont="1" applyAlignment="1">
      <alignment vertical="center" wrapText="1"/>
    </xf>
    <xf numFmtId="49" fontId="164" fillId="0" borderId="0" xfId="0" applyNumberFormat="1" applyFont="1" applyAlignment="1">
      <alignment vertical="top" wrapText="1"/>
    </xf>
    <xf numFmtId="0" fontId="164" fillId="0" borderId="0" xfId="0" applyNumberFormat="1" applyFont="1" applyAlignment="1">
      <alignment horizontal="left" vertical="top" wrapText="1"/>
    </xf>
    <xf numFmtId="0" fontId="164" fillId="0" borderId="0" xfId="0" applyNumberFormat="1" applyFont="1" applyFill="1" applyAlignment="1">
      <alignment horizontal="left" vertical="top" wrapText="1"/>
    </xf>
    <xf numFmtId="0" fontId="164" fillId="0" borderId="0" xfId="0" applyNumberFormat="1" applyFont="1" applyFill="1" applyAlignment="1"/>
    <xf numFmtId="41" fontId="164" fillId="0" borderId="0" xfId="0" applyNumberFormat="1" applyFont="1" applyBorder="1"/>
    <xf numFmtId="0" fontId="164" fillId="0" borderId="0" xfId="0" applyNumberFormat="1" applyFont="1" applyFill="1" applyAlignment="1">
      <alignment horizontal="left"/>
    </xf>
    <xf numFmtId="0" fontId="164" fillId="0" borderId="0" xfId="0" applyNumberFormat="1" applyFont="1" applyFill="1" applyAlignment="1">
      <alignment vertical="top"/>
    </xf>
    <xf numFmtId="0" fontId="164" fillId="0" borderId="0" xfId="0" applyNumberFormat="1" applyFont="1" applyFill="1" applyAlignment="1">
      <alignment horizontal="left" wrapText="1"/>
    </xf>
    <xf numFmtId="0" fontId="164" fillId="0" borderId="0" xfId="0" applyNumberFormat="1" applyFont="1" applyFill="1" applyBorder="1" applyAlignment="1">
      <alignment horizontal="left" vertical="top" wrapText="1"/>
    </xf>
    <xf numFmtId="41" fontId="164" fillId="0" borderId="0" xfId="0" applyNumberFormat="1" applyFont="1" applyFill="1" applyBorder="1"/>
    <xf numFmtId="49" fontId="164" fillId="0" borderId="0" xfId="0" applyNumberFormat="1" applyFont="1" applyFill="1" applyAlignment="1">
      <alignment wrapText="1"/>
    </xf>
    <xf numFmtId="41" fontId="164" fillId="0" borderId="0" xfId="0" applyNumberFormat="1" applyFont="1" applyFill="1" applyAlignment="1">
      <alignment horizontal="right" vertical="center"/>
    </xf>
    <xf numFmtId="191" fontId="164" fillId="0" borderId="0" xfId="0" applyNumberFormat="1" applyFont="1" applyFill="1" applyBorder="1" applyAlignment="1">
      <alignment vertical="center"/>
    </xf>
    <xf numFmtId="41" fontId="164" fillId="0" borderId="0" xfId="0" applyNumberFormat="1" applyFont="1" applyFill="1" applyBorder="1" applyAlignment="1">
      <alignment horizontal="right" vertical="center"/>
    </xf>
    <xf numFmtId="0" fontId="164" fillId="0" borderId="0" xfId="0" applyNumberFormat="1" applyFont="1" applyBorder="1"/>
    <xf numFmtId="0" fontId="164" fillId="0" borderId="0" xfId="0" applyNumberFormat="1" applyFont="1" applyAlignment="1"/>
    <xf numFmtId="0" fontId="85" fillId="0" borderId="0" xfId="1767" applyFont="1"/>
    <xf numFmtId="43" fontId="24" fillId="0" borderId="0" xfId="1767" applyNumberFormat="1" applyFont="1" applyFill="1" applyAlignment="1" applyProtection="1">
      <alignment horizontal="right"/>
      <protection locked="0"/>
    </xf>
    <xf numFmtId="0" fontId="110" fillId="0" borderId="0" xfId="1028" applyFont="1" applyAlignment="1">
      <alignment horizontal="left"/>
    </xf>
    <xf numFmtId="37" fontId="24" fillId="0" borderId="0" xfId="0" applyNumberFormat="1" applyFont="1" applyAlignment="1" applyProtection="1">
      <alignment horizontal="left"/>
      <protection locked="0"/>
    </xf>
    <xf numFmtId="165" fontId="35" fillId="0" borderId="0" xfId="0" applyNumberFormat="1" applyFont="1" applyProtection="1">
      <protection locked="0"/>
    </xf>
    <xf numFmtId="0" fontId="30" fillId="0" borderId="0" xfId="0" applyNumberFormat="1" applyFont="1"/>
    <xf numFmtId="41" fontId="30" fillId="0" borderId="0" xfId="0" applyNumberFormat="1" applyFont="1" applyFill="1"/>
    <xf numFmtId="41" fontId="30" fillId="0" borderId="0" xfId="0" applyNumberFormat="1" applyFont="1" applyAlignment="1">
      <alignment horizontal="right"/>
    </xf>
    <xf numFmtId="41" fontId="29" fillId="0" borderId="0" xfId="1773" applyNumberFormat="1" applyFont="1" applyFill="1"/>
    <xf numFmtId="0" fontId="29" fillId="0" borderId="0" xfId="0" applyNumberFormat="1" applyFont="1"/>
    <xf numFmtId="0" fontId="30" fillId="0" borderId="0" xfId="0" quotePrefix="1" applyNumberFormat="1" applyFont="1" applyAlignment="1">
      <alignment horizontal="left"/>
    </xf>
    <xf numFmtId="41" fontId="29" fillId="0" borderId="0" xfId="0" applyNumberFormat="1" applyFont="1" applyFill="1"/>
    <xf numFmtId="41" fontId="29" fillId="0" borderId="0" xfId="0" applyNumberFormat="1" applyFont="1" applyAlignment="1">
      <alignment horizontal="right"/>
    </xf>
    <xf numFmtId="0" fontId="30" fillId="0" borderId="69" xfId="0" applyNumberFormat="1" applyFont="1" applyBorder="1" applyAlignment="1">
      <alignment horizontal="center" wrapText="1"/>
    </xf>
    <xf numFmtId="0" fontId="30" fillId="0" borderId="0" xfId="0" applyNumberFormat="1" applyFont="1" applyBorder="1" applyAlignment="1">
      <alignment horizontal="center" wrapText="1"/>
    </xf>
    <xf numFmtId="49" fontId="30" fillId="0" borderId="69" xfId="0" applyNumberFormat="1" applyFont="1" applyFill="1" applyBorder="1" applyAlignment="1">
      <alignment horizontal="center" wrapText="1"/>
    </xf>
    <xf numFmtId="41" fontId="30" fillId="0" borderId="0" xfId="1773" applyNumberFormat="1" applyFont="1" applyBorder="1" applyAlignment="1">
      <alignment horizontal="center" wrapText="1"/>
    </xf>
    <xf numFmtId="41" fontId="30" fillId="0" borderId="69" xfId="1773" applyNumberFormat="1" applyFont="1" applyFill="1" applyBorder="1" applyAlignment="1">
      <alignment horizontal="center" wrapText="1"/>
    </xf>
    <xf numFmtId="0" fontId="98" fillId="0" borderId="0" xfId="0" applyNumberFormat="1" applyFont="1"/>
    <xf numFmtId="42" fontId="98" fillId="0" borderId="0" xfId="1773" applyNumberFormat="1" applyFont="1" applyFill="1"/>
    <xf numFmtId="41" fontId="30" fillId="0" borderId="0" xfId="0" applyNumberFormat="1" applyFont="1" applyFill="1" applyAlignment="1">
      <alignment horizontal="center"/>
    </xf>
    <xf numFmtId="191" fontId="29" fillId="0" borderId="0" xfId="0" applyNumberFormat="1" applyFont="1" applyFill="1"/>
    <xf numFmtId="191" fontId="29" fillId="0" borderId="0" xfId="0" applyNumberFormat="1" applyFont="1" applyFill="1" applyAlignment="1"/>
    <xf numFmtId="42" fontId="29" fillId="0" borderId="0" xfId="0" quotePrefix="1" applyNumberFormat="1" applyFont="1" applyFill="1" applyAlignment="1">
      <alignment horizontal="center"/>
    </xf>
    <xf numFmtId="191" fontId="29" fillId="0" borderId="0" xfId="0" applyNumberFormat="1" applyFont="1" applyFill="1" applyBorder="1" applyAlignment="1"/>
    <xf numFmtId="191" fontId="29" fillId="0" borderId="0" xfId="0" applyNumberFormat="1" applyFont="1" applyBorder="1"/>
    <xf numFmtId="41" fontId="29" fillId="0" borderId="0" xfId="0" applyNumberFormat="1" applyFont="1" applyFill="1" applyBorder="1" applyAlignment="1"/>
    <xf numFmtId="41" fontId="29" fillId="0" borderId="0" xfId="0" applyNumberFormat="1" applyFont="1" applyBorder="1"/>
    <xf numFmtId="41" fontId="98" fillId="0" borderId="0" xfId="1773" applyNumberFormat="1" applyFont="1" applyFill="1"/>
    <xf numFmtId="191" fontId="30" fillId="0" borderId="0" xfId="1773" applyNumberFormat="1" applyFont="1" applyBorder="1" applyAlignment="1">
      <alignment horizontal="center" wrapText="1"/>
    </xf>
    <xf numFmtId="0" fontId="29" fillId="0" borderId="0" xfId="0" applyNumberFormat="1" applyFont="1" applyBorder="1" applyAlignment="1">
      <alignment horizontal="center" wrapText="1"/>
    </xf>
    <xf numFmtId="191" fontId="29" fillId="0" borderId="0" xfId="1773" applyNumberFormat="1" applyFont="1" applyBorder="1" applyAlignment="1">
      <alignment horizontal="center" wrapText="1"/>
    </xf>
    <xf numFmtId="41" fontId="29" fillId="0" borderId="0" xfId="0" applyNumberFormat="1" applyFont="1" applyFill="1" applyBorder="1" applyAlignment="1">
      <alignment wrapText="1"/>
    </xf>
    <xf numFmtId="191" fontId="29" fillId="0" borderId="0" xfId="0" applyNumberFormat="1" applyFont="1" applyFill="1" applyBorder="1" applyAlignment="1">
      <alignment vertical="center"/>
    </xf>
    <xf numFmtId="41" fontId="30" fillId="0" borderId="0" xfId="0" applyNumberFormat="1" applyFont="1" applyFill="1" applyBorder="1" applyAlignment="1">
      <alignment horizontal="center"/>
    </xf>
    <xf numFmtId="191" fontId="30" fillId="0" borderId="0" xfId="0" applyNumberFormat="1" applyFont="1" applyFill="1" applyBorder="1" applyAlignment="1">
      <alignment horizontal="center"/>
    </xf>
    <xf numFmtId="191" fontId="30" fillId="0" borderId="0" xfId="0" applyNumberFormat="1" applyFont="1" applyFill="1" applyAlignment="1">
      <alignment horizontal="center"/>
    </xf>
    <xf numFmtId="41" fontId="30" fillId="0" borderId="0" xfId="0" applyNumberFormat="1" applyFont="1" applyFill="1" applyAlignment="1"/>
    <xf numFmtId="41" fontId="98" fillId="0" borderId="0" xfId="0" applyNumberFormat="1" applyFont="1"/>
    <xf numFmtId="0" fontId="98" fillId="0" borderId="0" xfId="0" applyNumberFormat="1" applyFont="1" applyAlignment="1">
      <alignment horizontal="center" vertical="top"/>
    </xf>
    <xf numFmtId="191" fontId="98" fillId="0" borderId="0" xfId="0" applyNumberFormat="1" applyFont="1" applyAlignment="1">
      <alignment horizontal="center" vertical="top"/>
    </xf>
    <xf numFmtId="41" fontId="98" fillId="0" borderId="0" xfId="0" applyNumberFormat="1" applyFont="1" applyFill="1" applyAlignment="1">
      <alignment horizontal="center" vertical="top"/>
    </xf>
    <xf numFmtId="41" fontId="98" fillId="0" borderId="0" xfId="0" applyNumberFormat="1" applyFont="1" applyAlignment="1">
      <alignment horizontal="right" vertical="top"/>
    </xf>
    <xf numFmtId="41" fontId="98" fillId="0" borderId="0" xfId="0" quotePrefix="1" applyNumberFormat="1" applyFont="1" applyAlignment="1">
      <alignment horizontal="right"/>
    </xf>
    <xf numFmtId="41" fontId="29" fillId="0" borderId="0" xfId="0" applyNumberFormat="1" applyFont="1" applyBorder="1" applyAlignment="1">
      <alignment horizontal="right"/>
    </xf>
    <xf numFmtId="191" fontId="29" fillId="0" borderId="0" xfId="0" applyNumberFormat="1" applyFont="1" applyAlignment="1"/>
    <xf numFmtId="41" fontId="30" fillId="0" borderId="0" xfId="0" applyNumberFormat="1" applyFont="1" applyFill="1" applyAlignment="1">
      <alignment horizontal="right"/>
    </xf>
    <xf numFmtId="41" fontId="29" fillId="0" borderId="0" xfId="0" applyNumberFormat="1" applyFont="1" applyFill="1" applyAlignment="1"/>
    <xf numFmtId="41" fontId="29" fillId="0" borderId="0" xfId="0" applyNumberFormat="1" applyFont="1" applyFill="1" applyBorder="1" applyAlignment="1">
      <alignment horizontal="right"/>
    </xf>
    <xf numFmtId="191" fontId="29" fillId="0" borderId="0" xfId="0" applyNumberFormat="1" applyFont="1" applyFill="1" applyBorder="1"/>
    <xf numFmtId="0" fontId="30" fillId="0" borderId="0" xfId="0" applyNumberFormat="1" applyFont="1" applyFill="1" applyBorder="1" applyAlignment="1">
      <alignment horizontal="center" wrapText="1"/>
    </xf>
    <xf numFmtId="191" fontId="29" fillId="0" borderId="0" xfId="0" applyNumberFormat="1" applyFont="1"/>
    <xf numFmtId="0" fontId="29" fillId="0" borderId="0" xfId="0" applyNumberFormat="1" applyFont="1" applyFill="1" applyBorder="1" applyAlignment="1">
      <alignment horizontal="center" wrapText="1"/>
    </xf>
    <xf numFmtId="0" fontId="98" fillId="0" borderId="0" xfId="0" applyNumberFormat="1" applyFont="1" applyFill="1" applyBorder="1" applyAlignment="1">
      <alignment horizontal="center" wrapText="1"/>
    </xf>
    <xf numFmtId="0" fontId="98" fillId="0" borderId="0" xfId="0" applyNumberFormat="1" applyFont="1" applyFill="1" applyBorder="1" applyAlignment="1">
      <alignment horizontal="center"/>
    </xf>
    <xf numFmtId="49" fontId="98" fillId="0" borderId="0" xfId="0" applyNumberFormat="1" applyFont="1"/>
    <xf numFmtId="0" fontId="98" fillId="0" borderId="0" xfId="0" applyNumberFormat="1" applyFont="1" applyBorder="1" applyAlignment="1">
      <alignment horizontal="right"/>
    </xf>
    <xf numFmtId="41" fontId="98" fillId="0" borderId="19" xfId="0" applyNumberFormat="1" applyFont="1" applyBorder="1"/>
    <xf numFmtId="191" fontId="98" fillId="0" borderId="19" xfId="0" applyNumberFormat="1" applyFont="1" applyBorder="1" applyAlignment="1">
      <alignment horizontal="right"/>
    </xf>
    <xf numFmtId="41" fontId="98" fillId="0" borderId="19" xfId="0" quotePrefix="1" applyNumberFormat="1" applyFont="1" applyFill="1" applyBorder="1" applyAlignment="1"/>
    <xf numFmtId="49" fontId="29" fillId="0" borderId="0" xfId="0" applyNumberFormat="1" applyFont="1" applyBorder="1" applyAlignment="1">
      <alignment wrapText="1"/>
    </xf>
    <xf numFmtId="41" fontId="29" fillId="0" borderId="0" xfId="0" applyNumberFormat="1" applyFont="1"/>
    <xf numFmtId="191" fontId="29" fillId="0" borderId="0" xfId="0" applyNumberFormat="1" applyFont="1" applyAlignment="1">
      <alignment vertical="center"/>
    </xf>
    <xf numFmtId="41" fontId="29" fillId="0" borderId="0" xfId="0" applyNumberFormat="1" applyFont="1" applyAlignment="1">
      <alignment horizontal="right" vertical="center"/>
    </xf>
    <xf numFmtId="49" fontId="29" fillId="0" borderId="0" xfId="0" applyNumberFormat="1" applyFont="1" applyFill="1" applyAlignment="1">
      <alignment wrapText="1"/>
    </xf>
    <xf numFmtId="191" fontId="29" fillId="0" borderId="0" xfId="0" applyNumberFormat="1" applyFont="1" applyFill="1" applyAlignment="1">
      <alignment vertical="center"/>
    </xf>
    <xf numFmtId="42" fontId="30" fillId="0" borderId="0" xfId="0" applyNumberFormat="1" applyFont="1" applyFill="1" applyAlignment="1">
      <alignment horizontal="center"/>
    </xf>
    <xf numFmtId="42" fontId="30" fillId="0" borderId="0" xfId="0" quotePrefix="1" applyNumberFormat="1" applyFont="1" applyFill="1" applyBorder="1" applyAlignment="1">
      <alignment horizontal="right"/>
    </xf>
    <xf numFmtId="0" fontId="98" fillId="0" borderId="0" xfId="0" applyNumberFormat="1" applyFont="1" applyAlignment="1">
      <alignment horizontal="center" vertical="top" wrapText="1"/>
    </xf>
    <xf numFmtId="0" fontId="29" fillId="0" borderId="0" xfId="0" applyNumberFormat="1" applyFont="1" applyBorder="1" applyAlignment="1">
      <alignment horizontal="left"/>
    </xf>
    <xf numFmtId="0" fontId="98" fillId="0" borderId="0" xfId="0" applyNumberFormat="1" applyFont="1" applyFill="1" applyAlignment="1">
      <alignment horizontal="center"/>
    </xf>
    <xf numFmtId="42" fontId="98" fillId="0" borderId="0" xfId="0" applyNumberFormat="1" applyFont="1" applyFill="1" applyBorder="1" applyAlignment="1">
      <alignment horizontal="right"/>
    </xf>
    <xf numFmtId="42" fontId="98" fillId="0" borderId="0" xfId="0" applyNumberFormat="1" applyFont="1" applyFill="1" applyBorder="1" applyAlignment="1">
      <alignment horizontal="center"/>
    </xf>
    <xf numFmtId="0" fontId="29" fillId="0" borderId="0" xfId="0" applyNumberFormat="1" applyFont="1" applyFill="1" applyAlignment="1">
      <alignment horizontal="left" vertical="top" wrapText="1"/>
    </xf>
    <xf numFmtId="0" fontId="29" fillId="0" borderId="0" xfId="0" applyNumberFormat="1" applyFont="1" applyFill="1" applyBorder="1" applyAlignment="1">
      <alignment horizontal="left" vertical="top" wrapText="1"/>
    </xf>
    <xf numFmtId="165" fontId="24" fillId="0" borderId="0" xfId="2" applyNumberFormat="1" applyFont="1" applyAlignment="1"/>
    <xf numFmtId="166" fontId="31" fillId="0" borderId="0" xfId="0" applyNumberFormat="1" applyFont="1" applyBorder="1" applyAlignment="1">
      <alignment horizontal="center"/>
    </xf>
    <xf numFmtId="166" fontId="31" fillId="0" borderId="10" xfId="0" applyNumberFormat="1" applyFont="1" applyBorder="1" applyAlignment="1">
      <alignment horizontal="center"/>
    </xf>
    <xf numFmtId="0" fontId="31" fillId="0" borderId="0" xfId="2" applyNumberFormat="1" applyFont="1" applyAlignment="1">
      <alignment horizontal="right"/>
    </xf>
    <xf numFmtId="170" fontId="31" fillId="0" borderId="0" xfId="2" applyNumberFormat="1" applyFont="1" applyAlignment="1"/>
    <xf numFmtId="165" fontId="24" fillId="35" borderId="0" xfId="5458" applyNumberFormat="1" applyFont="1" applyFill="1" applyAlignment="1" applyProtection="1">
      <protection locked="0"/>
    </xf>
    <xf numFmtId="37" fontId="24" fillId="0" borderId="0" xfId="2" applyNumberFormat="1" applyFont="1" applyBorder="1" applyAlignment="1"/>
    <xf numFmtId="37" fontId="24" fillId="0" borderId="0" xfId="2" applyNumberFormat="1" applyFont="1" applyAlignment="1">
      <alignment horizontal="right"/>
    </xf>
    <xf numFmtId="5" fontId="24" fillId="0" borderId="0" xfId="2" applyNumberFormat="1" applyFont="1" applyAlignment="1"/>
    <xf numFmtId="169" fontId="24" fillId="0" borderId="0" xfId="2" applyNumberFormat="1" applyFont="1" applyAlignment="1"/>
    <xf numFmtId="37" fontId="24" fillId="0" borderId="0" xfId="2" quotePrefix="1" applyNumberFormat="1" applyFont="1" applyAlignment="1">
      <alignment horizontal="center"/>
    </xf>
    <xf numFmtId="170" fontId="24" fillId="0" borderId="69" xfId="2" applyNumberFormat="1" applyFont="1" applyBorder="1" applyAlignment="1">
      <alignment horizontal="right"/>
    </xf>
    <xf numFmtId="170" fontId="24" fillId="0" borderId="69" xfId="2" applyNumberFormat="1" applyFont="1" applyBorder="1" applyAlignment="1"/>
    <xf numFmtId="166" fontId="24" fillId="0" borderId="0" xfId="2" applyNumberFormat="1" applyFont="1" applyBorder="1" applyAlignment="1">
      <alignment horizontal="right"/>
    </xf>
    <xf numFmtId="0" fontId="24" fillId="0" borderId="0" xfId="2" applyFont="1"/>
    <xf numFmtId="170" fontId="24" fillId="0" borderId="0" xfId="2" applyNumberFormat="1" applyFont="1"/>
    <xf numFmtId="166" fontId="24" fillId="0" borderId="0" xfId="2" applyNumberFormat="1" applyFont="1" applyBorder="1"/>
    <xf numFmtId="3" fontId="24" fillId="0" borderId="0" xfId="2" applyNumberFormat="1" applyFont="1" applyAlignment="1"/>
    <xf numFmtId="37" fontId="24" fillId="0" borderId="0" xfId="2" applyNumberFormat="1" applyFont="1"/>
    <xf numFmtId="0" fontId="24" fillId="0" borderId="0" xfId="5458" applyNumberFormat="1" applyFont="1" applyFill="1" applyAlignment="1">
      <alignment horizontal="left"/>
    </xf>
    <xf numFmtId="165" fontId="24" fillId="0" borderId="0" xfId="5458" applyNumberFormat="1" applyFont="1" applyAlignment="1" applyProtection="1">
      <protection locked="0"/>
    </xf>
    <xf numFmtId="37" fontId="31" fillId="0" borderId="77" xfId="2" applyNumberFormat="1" applyFont="1" applyBorder="1" applyAlignment="1">
      <alignment horizontal="center"/>
    </xf>
    <xf numFmtId="37" fontId="29" fillId="0" borderId="77" xfId="2" applyNumberFormat="1" applyFont="1" applyBorder="1" applyAlignment="1"/>
    <xf numFmtId="37" fontId="24" fillId="0" borderId="77" xfId="2" applyNumberFormat="1" applyFont="1" applyBorder="1" applyAlignment="1"/>
    <xf numFmtId="174" fontId="24" fillId="0" borderId="0" xfId="2" quotePrefix="1" applyNumberFormat="1" applyFont="1" applyAlignment="1">
      <alignment horizontal="right"/>
    </xf>
    <xf numFmtId="170" fontId="24" fillId="0" borderId="0" xfId="1773" applyNumberFormat="1" applyFont="1" applyAlignment="1"/>
    <xf numFmtId="170" fontId="24" fillId="0" borderId="0" xfId="2" applyNumberFormat="1" applyFont="1" applyBorder="1" applyAlignment="1"/>
    <xf numFmtId="170" fontId="24" fillId="0" borderId="0" xfId="2" applyNumberFormat="1" applyFont="1" applyBorder="1" applyAlignment="1">
      <alignment horizontal="right"/>
    </xf>
    <xf numFmtId="37" fontId="24" fillId="0" borderId="0" xfId="2" applyNumberFormat="1" applyFont="1" applyBorder="1" applyAlignment="1">
      <alignment horizontal="right"/>
    </xf>
    <xf numFmtId="170" fontId="24" fillId="0" borderId="0" xfId="1773" quotePrefix="1" applyNumberFormat="1" applyFont="1" applyAlignment="1">
      <alignment horizontal="right"/>
    </xf>
    <xf numFmtId="170" fontId="24" fillId="0" borderId="0" xfId="2" quotePrefix="1" applyNumberFormat="1" applyFont="1" applyBorder="1" applyAlignment="1">
      <alignment horizontal="center"/>
    </xf>
    <xf numFmtId="37" fontId="24" fillId="0" borderId="0" xfId="2" quotePrefix="1" applyNumberFormat="1" applyFont="1" applyBorder="1" applyAlignment="1">
      <alignment horizontal="center"/>
    </xf>
    <xf numFmtId="37" fontId="24" fillId="0" borderId="0" xfId="2" applyNumberFormat="1" applyFont="1" applyBorder="1" applyAlignment="1">
      <alignment horizontal="center"/>
    </xf>
    <xf numFmtId="170" fontId="24" fillId="0" borderId="69" xfId="2" quotePrefix="1" applyNumberFormat="1" applyFont="1" applyFill="1" applyBorder="1" applyAlignment="1">
      <alignment horizontal="right"/>
    </xf>
    <xf numFmtId="170" fontId="24" fillId="0" borderId="69" xfId="2" quotePrefix="1" applyNumberFormat="1" applyFont="1" applyBorder="1" applyAlignment="1">
      <alignment horizontal="right"/>
    </xf>
    <xf numFmtId="174" fontId="24" fillId="0" borderId="0" xfId="2" applyNumberFormat="1" applyFont="1"/>
    <xf numFmtId="0" fontId="24" fillId="0" borderId="0" xfId="2" applyFont="1" applyAlignment="1">
      <alignment horizontal="left"/>
    </xf>
    <xf numFmtId="37" fontId="24" fillId="0" borderId="0" xfId="2" applyNumberFormat="1" applyFont="1" applyFill="1"/>
    <xf numFmtId="174" fontId="24" fillId="0" borderId="77" xfId="2" applyNumberFormat="1" applyFont="1" applyBorder="1" applyAlignment="1"/>
    <xf numFmtId="174" fontId="24" fillId="0" borderId="0" xfId="2" quotePrefix="1" applyNumberFormat="1" applyFont="1" applyAlignment="1"/>
    <xf numFmtId="170" fontId="24" fillId="0" borderId="77" xfId="2" applyNumberFormat="1" applyFont="1" applyBorder="1" applyAlignment="1"/>
    <xf numFmtId="170" fontId="24" fillId="0" borderId="77" xfId="2" applyNumberFormat="1" applyFont="1" applyBorder="1" applyAlignment="1">
      <alignment horizontal="center"/>
    </xf>
    <xf numFmtId="170" fontId="31" fillId="0" borderId="77" xfId="2" applyNumberFormat="1" applyFont="1" applyBorder="1" applyAlignment="1"/>
    <xf numFmtId="170" fontId="31" fillId="0" borderId="28" xfId="2" applyNumberFormat="1" applyFont="1" applyBorder="1" applyAlignment="1"/>
    <xf numFmtId="174" fontId="31" fillId="0" borderId="77" xfId="2" applyNumberFormat="1" applyFont="1" applyBorder="1" applyAlignment="1"/>
    <xf numFmtId="166" fontId="24" fillId="0" borderId="0" xfId="2" applyNumberFormat="1" applyFont="1"/>
    <xf numFmtId="37" fontId="24" fillId="0" borderId="0" xfId="2" applyNumberFormat="1" applyFont="1" applyAlignment="1">
      <alignment horizontal="center"/>
    </xf>
    <xf numFmtId="166" fontId="46" fillId="0" borderId="69" xfId="2" applyNumberFormat="1" applyFont="1" applyBorder="1" applyAlignment="1">
      <alignment horizontal="center"/>
    </xf>
    <xf numFmtId="174" fontId="46" fillId="0" borderId="28" xfId="2" applyNumberFormat="1" applyFont="1" applyBorder="1" applyAlignment="1"/>
    <xf numFmtId="166" fontId="47" fillId="0" borderId="28" xfId="2" applyNumberFormat="1" applyFont="1" applyBorder="1" applyAlignment="1"/>
    <xf numFmtId="170" fontId="47" fillId="0" borderId="28" xfId="2" applyNumberFormat="1" applyFont="1" applyBorder="1" applyAlignment="1"/>
    <xf numFmtId="164" fontId="24" fillId="0" borderId="0" xfId="2" applyNumberFormat="1" applyFont="1" applyAlignment="1"/>
    <xf numFmtId="170" fontId="47" fillId="0" borderId="77" xfId="2" applyNumberFormat="1" applyFont="1" applyBorder="1" applyAlignment="1"/>
    <xf numFmtId="170" fontId="46" fillId="0" borderId="69" xfId="2" applyNumberFormat="1" applyFont="1" applyBorder="1" applyAlignment="1">
      <alignment horizontal="right"/>
    </xf>
    <xf numFmtId="164" fontId="31" fillId="0" borderId="69" xfId="2" applyNumberFormat="1" applyFont="1" applyBorder="1" applyAlignment="1"/>
    <xf numFmtId="3" fontId="24" fillId="0" borderId="0" xfId="2" applyNumberFormat="1" applyFont="1" applyAlignment="1">
      <alignment vertical="center"/>
    </xf>
    <xf numFmtId="3" fontId="24" fillId="0" borderId="0" xfId="2" applyNumberFormat="1" applyFont="1" applyAlignment="1">
      <alignment horizontal="left" vertical="center"/>
    </xf>
    <xf numFmtId="170" fontId="47" fillId="0" borderId="78" xfId="2" applyNumberFormat="1" applyFont="1" applyBorder="1" applyAlignment="1"/>
    <xf numFmtId="170" fontId="47" fillId="0" borderId="79" xfId="2" applyNumberFormat="1" applyFont="1" applyBorder="1" applyAlignment="1"/>
    <xf numFmtId="170" fontId="46" fillId="0" borderId="78" xfId="2" applyNumberFormat="1" applyFont="1" applyBorder="1" applyAlignment="1"/>
    <xf numFmtId="164" fontId="24" fillId="0" borderId="69" xfId="2" quotePrefix="1" applyNumberFormat="1" applyFont="1" applyBorder="1" applyAlignment="1"/>
    <xf numFmtId="170" fontId="46" fillId="0" borderId="69" xfId="2" applyNumberFormat="1" applyFont="1" applyBorder="1" applyAlignment="1"/>
    <xf numFmtId="164" fontId="24" fillId="0" borderId="69" xfId="2" applyNumberFormat="1" applyFont="1" applyBorder="1" applyAlignment="1"/>
    <xf numFmtId="172" fontId="31" fillId="0" borderId="69" xfId="2" applyNumberFormat="1" applyFont="1" applyBorder="1" applyAlignment="1"/>
    <xf numFmtId="166" fontId="30" fillId="0" borderId="0" xfId="0" applyNumberFormat="1" applyFont="1" applyFill="1" applyBorder="1" applyAlignment="1"/>
    <xf numFmtId="165" fontId="27" fillId="0" borderId="0" xfId="0" applyNumberFormat="1" applyFont="1" applyFill="1" applyBorder="1" applyAlignment="1"/>
    <xf numFmtId="166" fontId="44" fillId="0" borderId="0" xfId="0" applyNumberFormat="1" applyFont="1" applyFill="1" applyBorder="1" applyAlignment="1"/>
    <xf numFmtId="166" fontId="44" fillId="0" borderId="0" xfId="0" applyNumberFormat="1" applyFont="1" applyFill="1" applyAlignment="1"/>
    <xf numFmtId="166" fontId="31" fillId="0" borderId="0" xfId="0" applyNumberFormat="1" applyFont="1" applyFill="1" applyBorder="1" applyAlignment="1">
      <alignment horizontal="center"/>
    </xf>
    <xf numFmtId="166" fontId="46" fillId="0" borderId="0" xfId="0" applyNumberFormat="1" applyFont="1" applyFill="1" applyBorder="1" applyAlignment="1">
      <alignment horizontal="center"/>
    </xf>
    <xf numFmtId="166" fontId="47" fillId="0" borderId="0" xfId="0" applyNumberFormat="1" applyFont="1" applyFill="1" applyBorder="1" applyAlignment="1"/>
    <xf numFmtId="174" fontId="47" fillId="0" borderId="0" xfId="0" applyNumberFormat="1" applyFont="1" applyFill="1" applyBorder="1" applyAlignment="1"/>
    <xf numFmtId="170" fontId="47" fillId="0" borderId="0" xfId="0" applyNumberFormat="1" applyFont="1" applyFill="1" applyBorder="1" applyAlignment="1"/>
    <xf numFmtId="170" fontId="47" fillId="0" borderId="0" xfId="0" applyNumberFormat="1" applyFont="1" applyFill="1" applyBorder="1" applyAlignment="1">
      <alignment horizontal="center"/>
    </xf>
    <xf numFmtId="170" fontId="46" fillId="0" borderId="0" xfId="0" applyNumberFormat="1" applyFont="1" applyFill="1" applyBorder="1" applyAlignment="1">
      <alignment horizontal="center"/>
    </xf>
    <xf numFmtId="174" fontId="26" fillId="0" borderId="0" xfId="0" applyNumberFormat="1" applyFont="1" applyFill="1" applyAlignment="1"/>
    <xf numFmtId="170" fontId="26" fillId="0" borderId="0" xfId="0" applyNumberFormat="1" applyFont="1" applyFill="1" applyAlignment="1">
      <alignment horizontal="center"/>
    </xf>
    <xf numFmtId="170" fontId="26" fillId="0" borderId="14" xfId="0" applyNumberFormat="1" applyFont="1" applyFill="1" applyBorder="1" applyAlignment="1"/>
    <xf numFmtId="170" fontId="46" fillId="0" borderId="14" xfId="0" applyNumberFormat="1" applyFont="1" applyFill="1" applyBorder="1" applyAlignment="1"/>
    <xf numFmtId="174" fontId="46" fillId="0" borderId="14" xfId="0" applyNumberFormat="1" applyFont="1" applyFill="1" applyBorder="1" applyAlignment="1"/>
    <xf numFmtId="164" fontId="31" fillId="0" borderId="69" xfId="0" applyNumberFormat="1" applyFont="1" applyBorder="1" applyAlignment="1" applyProtection="1">
      <protection locked="0"/>
    </xf>
    <xf numFmtId="0" fontId="31" fillId="0" borderId="0" xfId="2" applyNumberFormat="1" applyFont="1" applyAlignment="1">
      <alignment horizontal="right"/>
    </xf>
    <xf numFmtId="165" fontId="51" fillId="0" borderId="69" xfId="2" applyNumberFormat="1" applyFont="1" applyBorder="1" applyAlignment="1" applyProtection="1">
      <alignment horizontal="center"/>
      <protection locked="0"/>
    </xf>
    <xf numFmtId="165" fontId="51" fillId="0" borderId="69" xfId="2" applyNumberFormat="1" applyFont="1" applyBorder="1" applyAlignment="1" applyProtection="1">
      <protection locked="0"/>
    </xf>
    <xf numFmtId="0" fontId="52" fillId="0" borderId="69" xfId="2" applyNumberFormat="1" applyFont="1" applyBorder="1" applyAlignment="1"/>
    <xf numFmtId="164" fontId="31" fillId="0" borderId="0" xfId="2" applyNumberFormat="1" applyFont="1" applyAlignment="1">
      <alignment vertical="center"/>
    </xf>
    <xf numFmtId="0" fontId="31" fillId="0" borderId="0" xfId="2" applyNumberFormat="1" applyFont="1" applyAlignment="1">
      <alignment horizontal="left"/>
    </xf>
    <xf numFmtId="37" fontId="127" fillId="0" borderId="0" xfId="2" applyNumberFormat="1" applyFont="1" applyFill="1" applyBorder="1" applyAlignment="1"/>
    <xf numFmtId="37" fontId="125" fillId="0" borderId="0" xfId="2" applyNumberFormat="1" applyFont="1" applyFill="1" applyBorder="1" applyAlignment="1"/>
    <xf numFmtId="37" fontId="31" fillId="0" borderId="0" xfId="2" applyNumberFormat="1" applyFont="1" applyFill="1" applyBorder="1" applyAlignment="1"/>
    <xf numFmtId="37" fontId="31" fillId="0" borderId="0" xfId="2" applyNumberFormat="1" applyFont="1" applyFill="1" applyBorder="1" applyAlignment="1">
      <alignment horizontal="center"/>
    </xf>
    <xf numFmtId="37" fontId="128" fillId="0" borderId="0" xfId="2" applyNumberFormat="1" applyFont="1" applyBorder="1" applyAlignment="1">
      <alignment horizontal="centerContinuous"/>
    </xf>
    <xf numFmtId="174" fontId="24" fillId="0" borderId="0" xfId="2" applyNumberFormat="1" applyFont="1" applyBorder="1" applyAlignment="1">
      <alignment horizontal="right"/>
    </xf>
    <xf numFmtId="174" fontId="24" fillId="0" borderId="0" xfId="2" quotePrefix="1" applyNumberFormat="1" applyFont="1" applyBorder="1" applyAlignment="1">
      <alignment horizontal="right"/>
    </xf>
    <xf numFmtId="174" fontId="24" fillId="0" borderId="0" xfId="2" applyNumberFormat="1" applyFont="1" applyBorder="1" applyAlignment="1"/>
    <xf numFmtId="170" fontId="24" fillId="0" borderId="0" xfId="1773" applyNumberFormat="1" applyFont="1" applyBorder="1" applyAlignment="1"/>
    <xf numFmtId="170" fontId="24" fillId="0" borderId="0" xfId="1773" quotePrefix="1" applyNumberFormat="1" applyFont="1" applyBorder="1" applyAlignment="1">
      <alignment horizontal="right"/>
    </xf>
    <xf numFmtId="170" fontId="24" fillId="0" borderId="0" xfId="2" quotePrefix="1" applyNumberFormat="1" applyFont="1" applyBorder="1" applyAlignment="1">
      <alignment horizontal="right"/>
    </xf>
    <xf numFmtId="174" fontId="31" fillId="0" borderId="0" xfId="2" applyNumberFormat="1" applyFont="1" applyBorder="1" applyAlignment="1">
      <alignment horizontal="right"/>
    </xf>
    <xf numFmtId="174" fontId="24" fillId="0" borderId="0" xfId="2" applyNumberFormat="1" applyFont="1" applyBorder="1"/>
    <xf numFmtId="170" fontId="26" fillId="0" borderId="79" xfId="4" applyNumberFormat="1" applyFont="1" applyFill="1" applyBorder="1"/>
    <xf numFmtId="170" fontId="26" fillId="0" borderId="79" xfId="2" applyNumberFormat="1" applyFont="1" applyBorder="1" applyAlignment="1">
      <alignment horizontal="center"/>
    </xf>
    <xf numFmtId="0" fontId="31" fillId="0" borderId="0" xfId="2" applyNumberFormat="1" applyFont="1" applyAlignment="1">
      <alignment horizontal="left"/>
    </xf>
    <xf numFmtId="0" fontId="25" fillId="0" borderId="0" xfId="2" applyNumberFormat="1" applyFont="1" applyAlignment="1">
      <alignment horizontal="right"/>
    </xf>
    <xf numFmtId="0" fontId="31" fillId="0" borderId="0" xfId="2" applyNumberFormat="1" applyFont="1" applyFill="1" applyAlignment="1">
      <alignment horizontal="right"/>
    </xf>
    <xf numFmtId="37" fontId="125" fillId="0" borderId="0" xfId="2" applyNumberFormat="1" applyFont="1" applyBorder="1" applyAlignment="1"/>
    <xf numFmtId="37" fontId="31" fillId="0" borderId="79" xfId="2" applyNumberFormat="1" applyFont="1" applyBorder="1" applyAlignment="1">
      <alignment horizontal="center"/>
    </xf>
    <xf numFmtId="170" fontId="31" fillId="0" borderId="0" xfId="2" quotePrefix="1" applyNumberFormat="1" applyFont="1" applyBorder="1" applyAlignment="1"/>
    <xf numFmtId="166" fontId="53" fillId="0" borderId="0" xfId="2" applyNumberFormat="1" applyFont="1" applyBorder="1" applyAlignment="1"/>
    <xf numFmtId="0" fontId="54" fillId="0" borderId="0" xfId="2" quotePrefix="1" applyNumberFormat="1" applyFont="1" applyBorder="1" applyAlignment="1">
      <alignment horizontal="left"/>
    </xf>
    <xf numFmtId="174" fontId="54" fillId="0" borderId="0" xfId="2" quotePrefix="1" applyNumberFormat="1" applyFont="1" applyBorder="1" applyAlignment="1">
      <alignment horizontal="right"/>
    </xf>
    <xf numFmtId="0" fontId="26" fillId="0" borderId="15" xfId="2" applyNumberFormat="1" applyFont="1" applyBorder="1" applyAlignment="1"/>
    <xf numFmtId="0" fontId="65" fillId="0" borderId="0" xfId="2" applyNumberFormat="1" applyFont="1" applyAlignment="1"/>
    <xf numFmtId="0" fontId="65" fillId="0" borderId="0" xfId="2" quotePrefix="1" applyNumberFormat="1" applyFont="1" applyAlignment="1">
      <alignment horizontal="left"/>
    </xf>
    <xf numFmtId="0" fontId="31" fillId="0" borderId="15" xfId="2" applyNumberFormat="1" applyFont="1" applyBorder="1" applyAlignment="1">
      <alignment horizontal="center"/>
    </xf>
    <xf numFmtId="0" fontId="31" fillId="0" borderId="15" xfId="2" quotePrefix="1" applyNumberFormat="1" applyFont="1" applyBorder="1" applyAlignment="1">
      <alignment horizontal="center"/>
    </xf>
    <xf numFmtId="175" fontId="26" fillId="0" borderId="15" xfId="2" applyNumberFormat="1" applyFont="1" applyBorder="1" applyAlignment="1"/>
    <xf numFmtId="170" fontId="31" fillId="0" borderId="15" xfId="2" quotePrefix="1" applyNumberFormat="1" applyFont="1" applyBorder="1" applyAlignment="1"/>
    <xf numFmtId="170" fontId="31" fillId="0" borderId="15" xfId="2" applyNumberFormat="1" applyFont="1" applyBorder="1" applyAlignment="1">
      <alignment vertical="center"/>
    </xf>
    <xf numFmtId="166" fontId="29" fillId="0" borderId="0" xfId="0" applyNumberFormat="1" applyFont="1" applyFill="1" applyAlignment="1"/>
    <xf numFmtId="166" fontId="31" fillId="0" borderId="0" xfId="0" applyNumberFormat="1" applyFont="1" applyFill="1" applyAlignment="1">
      <alignment horizontal="center"/>
    </xf>
    <xf numFmtId="169" fontId="26" fillId="0" borderId="0" xfId="0" applyNumberFormat="1" applyFont="1" applyFill="1" applyBorder="1" applyAlignment="1"/>
    <xf numFmtId="166" fontId="27" fillId="0" borderId="0" xfId="0" applyNumberFormat="1" applyFont="1" applyFill="1" applyBorder="1" applyAlignment="1"/>
    <xf numFmtId="166" fontId="33" fillId="0" borderId="15" xfId="0" applyNumberFormat="1" applyFont="1" applyFill="1" applyBorder="1" applyAlignment="1"/>
    <xf numFmtId="169" fontId="33" fillId="0" borderId="15" xfId="0" applyNumberFormat="1" applyFont="1" applyFill="1" applyBorder="1" applyAlignment="1"/>
    <xf numFmtId="166" fontId="32" fillId="0" borderId="15" xfId="0" applyNumberFormat="1" applyFont="1" applyFill="1" applyBorder="1" applyAlignment="1"/>
    <xf numFmtId="169" fontId="32" fillId="0" borderId="15" xfId="0" applyNumberFormat="1" applyFont="1" applyFill="1" applyBorder="1" applyAlignment="1"/>
    <xf numFmtId="166" fontId="67" fillId="0" borderId="0" xfId="2" applyNumberFormat="1" applyFont="1" applyBorder="1" applyAlignment="1"/>
    <xf numFmtId="166" fontId="31" fillId="0" borderId="15" xfId="2" applyNumberFormat="1" applyFont="1" applyFill="1" applyBorder="1" applyAlignment="1"/>
    <xf numFmtId="175" fontId="31" fillId="0" borderId="15" xfId="2" applyNumberFormat="1" applyFont="1" applyFill="1" applyBorder="1" applyAlignment="1"/>
    <xf numFmtId="165" fontId="24" fillId="0" borderId="0" xfId="2" applyNumberFormat="1" applyFont="1" applyFill="1" applyBorder="1" applyAlignment="1"/>
    <xf numFmtId="0" fontId="24" fillId="0" borderId="0" xfId="2" applyFont="1" applyFill="1"/>
    <xf numFmtId="0" fontId="24" fillId="0" borderId="0" xfId="2" applyFont="1" applyFill="1" applyBorder="1" applyAlignment="1"/>
    <xf numFmtId="0" fontId="24" fillId="0" borderId="0" xfId="2" applyNumberFormat="1" applyFont="1" applyFill="1" applyAlignment="1"/>
    <xf numFmtId="165" fontId="24" fillId="0" borderId="0" xfId="2" applyNumberFormat="1" applyFont="1" applyFill="1" applyBorder="1" applyAlignment="1" applyProtection="1">
      <protection locked="0"/>
    </xf>
    <xf numFmtId="0" fontId="24" fillId="0" borderId="0" xfId="2" applyNumberFormat="1" applyFont="1" applyFill="1" applyBorder="1" applyAlignment="1"/>
    <xf numFmtId="0" fontId="24" fillId="0" borderId="0" xfId="2" applyNumberFormat="1" applyFont="1" applyFill="1" applyAlignment="1">
      <alignment horizontal="centerContinuous"/>
    </xf>
    <xf numFmtId="165" fontId="24" fillId="0" borderId="0" xfId="2" applyNumberFormat="1" applyFont="1" applyFill="1" applyBorder="1" applyAlignment="1" applyProtection="1">
      <alignment horizontal="center"/>
      <protection locked="0"/>
    </xf>
    <xf numFmtId="0" fontId="24" fillId="0" borderId="20" xfId="2" applyNumberFormat="1" applyFont="1" applyFill="1" applyBorder="1" applyAlignment="1"/>
    <xf numFmtId="165" fontId="24" fillId="0" borderId="20" xfId="2" applyNumberFormat="1" applyFont="1" applyFill="1" applyBorder="1" applyAlignment="1"/>
    <xf numFmtId="165" fontId="24" fillId="0" borderId="15" xfId="2" applyNumberFormat="1" applyFont="1" applyFill="1" applyBorder="1" applyAlignment="1" applyProtection="1">
      <protection locked="0"/>
    </xf>
    <xf numFmtId="165" fontId="24" fillId="0" borderId="0" xfId="2" applyNumberFormat="1" applyFont="1" applyBorder="1" applyAlignment="1" applyProtection="1">
      <protection locked="0"/>
    </xf>
    <xf numFmtId="165" fontId="24" fillId="0" borderId="37" xfId="2" applyNumberFormat="1" applyFont="1" applyFill="1" applyBorder="1" applyAlignment="1"/>
    <xf numFmtId="0" fontId="24" fillId="0" borderId="23" xfId="2" applyNumberFormat="1" applyFont="1" applyFill="1" applyBorder="1" applyAlignment="1"/>
    <xf numFmtId="0" fontId="24" fillId="0" borderId="37" xfId="2" applyNumberFormat="1" applyFont="1" applyFill="1" applyBorder="1" applyAlignment="1"/>
    <xf numFmtId="0" fontId="24" fillId="0" borderId="15" xfId="2" applyNumberFormat="1" applyFont="1" applyFill="1" applyBorder="1" applyAlignment="1"/>
    <xf numFmtId="175" fontId="24" fillId="0" borderId="0" xfId="2" applyNumberFormat="1" applyFont="1" applyFill="1" applyAlignment="1"/>
    <xf numFmtId="175" fontId="24" fillId="0" borderId="0" xfId="2" applyNumberFormat="1" applyFont="1" applyFill="1" applyBorder="1" applyAlignment="1"/>
    <xf numFmtId="175" fontId="24" fillId="0" borderId="13" xfId="2" applyNumberFormat="1" applyFont="1" applyFill="1" applyBorder="1" applyAlignment="1"/>
    <xf numFmtId="175" fontId="24" fillId="0" borderId="28" xfId="2" applyNumberFormat="1" applyFont="1" applyFill="1" applyBorder="1" applyAlignment="1"/>
    <xf numFmtId="175" fontId="24" fillId="0" borderId="15" xfId="2" applyNumberFormat="1" applyFont="1" applyFill="1" applyBorder="1" applyAlignment="1"/>
    <xf numFmtId="174" fontId="24" fillId="0" borderId="0" xfId="2" quotePrefix="1" applyNumberFormat="1" applyFont="1" applyFill="1" applyAlignment="1">
      <alignment horizontal="right"/>
    </xf>
    <xf numFmtId="174" fontId="24" fillId="0" borderId="10" xfId="2" applyNumberFormat="1" applyFont="1" applyFill="1" applyBorder="1" applyAlignment="1"/>
    <xf numFmtId="174" fontId="24" fillId="0" borderId="13" xfId="2" applyNumberFormat="1" applyFont="1" applyFill="1" applyBorder="1" applyAlignment="1">
      <alignment horizontal="right"/>
    </xf>
    <xf numFmtId="174" fontId="24" fillId="0" borderId="0" xfId="2" applyNumberFormat="1" applyFont="1" applyFill="1" applyBorder="1" applyAlignment="1"/>
    <xf numFmtId="174" fontId="24" fillId="0" borderId="28" xfId="2" applyNumberFormat="1" applyFont="1" applyFill="1" applyBorder="1" applyAlignment="1">
      <alignment horizontal="right"/>
    </xf>
    <xf numFmtId="174" fontId="24" fillId="0" borderId="0" xfId="2" applyNumberFormat="1" applyFont="1" applyFill="1" applyBorder="1" applyAlignment="1">
      <alignment horizontal="right"/>
    </xf>
    <xf numFmtId="169" fontId="24" fillId="0" borderId="0" xfId="2" applyNumberFormat="1" applyFont="1" applyFill="1" applyAlignment="1"/>
    <xf numFmtId="169" fontId="24" fillId="0" borderId="15" xfId="2" applyNumberFormat="1" applyFont="1" applyFill="1" applyBorder="1" applyAlignment="1"/>
    <xf numFmtId="169" fontId="24" fillId="0" borderId="0" xfId="2" applyNumberFormat="1" applyFont="1" applyFill="1" applyBorder="1" applyAlignment="1"/>
    <xf numFmtId="168" fontId="24" fillId="0" borderId="0" xfId="2" applyNumberFormat="1" applyFont="1" applyFill="1" applyAlignment="1" applyProtection="1">
      <protection locked="0"/>
    </xf>
    <xf numFmtId="168" fontId="24" fillId="0" borderId="0" xfId="2" applyNumberFormat="1" applyFont="1" applyFill="1" applyAlignment="1"/>
    <xf numFmtId="166" fontId="24" fillId="0" borderId="15" xfId="2" applyNumberFormat="1" applyFont="1" applyFill="1" applyBorder="1" applyAlignment="1"/>
    <xf numFmtId="170" fontId="24" fillId="0" borderId="38" xfId="2" applyNumberFormat="1" applyFont="1" applyFill="1" applyBorder="1" applyAlignment="1"/>
    <xf numFmtId="170" fontId="24" fillId="0" borderId="0" xfId="2" applyNumberFormat="1" applyFont="1" applyFill="1" applyBorder="1" applyAlignment="1"/>
    <xf numFmtId="170" fontId="24" fillId="0" borderId="28" xfId="2" applyNumberFormat="1" applyFont="1" applyFill="1" applyBorder="1" applyAlignment="1"/>
    <xf numFmtId="170" fontId="24" fillId="0" borderId="13" xfId="2" applyNumberFormat="1" applyFont="1" applyFill="1" applyBorder="1" applyAlignment="1"/>
    <xf numFmtId="170" fontId="24" fillId="0" borderId="0" xfId="2" quotePrefix="1" applyNumberFormat="1" applyFont="1" applyFill="1" applyBorder="1" applyAlignment="1">
      <alignment horizontal="center"/>
    </xf>
    <xf numFmtId="170" fontId="24" fillId="0" borderId="13" xfId="2" quotePrefix="1" applyNumberFormat="1" applyFont="1" applyFill="1" applyBorder="1" applyAlignment="1">
      <alignment horizontal="right"/>
    </xf>
    <xf numFmtId="170" fontId="24" fillId="0" borderId="28" xfId="2" applyNumberFormat="1" applyFont="1" applyFill="1" applyBorder="1" applyAlignment="1">
      <alignment horizontal="right"/>
    </xf>
    <xf numFmtId="170" fontId="24" fillId="0" borderId="13" xfId="2" applyNumberFormat="1" applyFont="1" applyFill="1" applyBorder="1" applyAlignment="1">
      <alignment horizontal="right"/>
    </xf>
    <xf numFmtId="170" fontId="24" fillId="0" borderId="0" xfId="2" applyNumberFormat="1" applyFont="1" applyFill="1" applyBorder="1" applyAlignment="1">
      <alignment horizontal="right"/>
    </xf>
    <xf numFmtId="170" fontId="24" fillId="0" borderId="0" xfId="2" quotePrefix="1" applyNumberFormat="1" applyFont="1" applyFill="1" applyBorder="1" applyAlignment="1">
      <alignment horizontal="right"/>
    </xf>
    <xf numFmtId="170" fontId="24" fillId="0" borderId="12" xfId="2" quotePrefix="1" applyNumberFormat="1" applyFont="1" applyFill="1" applyBorder="1" applyAlignment="1"/>
    <xf numFmtId="170" fontId="24" fillId="0" borderId="75" xfId="2" applyNumberFormat="1" applyFont="1" applyFill="1" applyBorder="1" applyAlignment="1">
      <alignment horizontal="right"/>
    </xf>
    <xf numFmtId="170" fontId="24" fillId="0" borderId="0" xfId="2" applyNumberFormat="1" applyFont="1" applyFill="1" applyBorder="1" applyAlignment="1">
      <alignment horizontal="center"/>
    </xf>
    <xf numFmtId="170" fontId="24" fillId="0" borderId="13" xfId="2" quotePrefix="1" applyNumberFormat="1" applyFont="1" applyFill="1" applyBorder="1" applyAlignment="1">
      <alignment horizontal="center"/>
    </xf>
    <xf numFmtId="170" fontId="24" fillId="0" borderId="28" xfId="2" quotePrefix="1" applyNumberFormat="1" applyFont="1" applyFill="1" applyBorder="1" applyAlignment="1">
      <alignment horizontal="right"/>
    </xf>
    <xf numFmtId="175" fontId="24" fillId="0" borderId="15" xfId="2" quotePrefix="1" applyNumberFormat="1" applyFont="1" applyFill="1" applyBorder="1" applyAlignment="1"/>
    <xf numFmtId="170" fontId="24" fillId="0" borderId="10" xfId="2" quotePrefix="1" applyNumberFormat="1" applyFont="1" applyFill="1" applyBorder="1" applyAlignment="1">
      <alignment horizontal="center"/>
    </xf>
    <xf numFmtId="170" fontId="24" fillId="0" borderId="75" xfId="2" quotePrefix="1" applyNumberFormat="1" applyFont="1" applyFill="1" applyBorder="1" applyAlignment="1">
      <alignment horizontal="right"/>
    </xf>
    <xf numFmtId="170" fontId="24" fillId="0" borderId="10" xfId="2" quotePrefix="1" applyNumberFormat="1" applyFont="1" applyFill="1" applyBorder="1" applyAlignment="1">
      <alignment horizontal="right"/>
    </xf>
    <xf numFmtId="175" fontId="24" fillId="0" borderId="15" xfId="2" quotePrefix="1" applyNumberFormat="1" applyFont="1" applyFill="1" applyBorder="1" applyAlignment="1">
      <alignment horizontal="center"/>
    </xf>
    <xf numFmtId="175" fontId="24" fillId="0" borderId="15" xfId="2" quotePrefix="1" applyNumberFormat="1" applyFont="1" applyFill="1" applyBorder="1" applyAlignment="1">
      <alignment horizontal="right"/>
    </xf>
    <xf numFmtId="170" fontId="24" fillId="0" borderId="20" xfId="2" applyNumberFormat="1" applyFont="1" applyFill="1" applyBorder="1" applyAlignment="1"/>
    <xf numFmtId="170" fontId="24" fillId="0" borderId="37" xfId="2" applyNumberFormat="1" applyFont="1" applyFill="1" applyBorder="1" applyAlignment="1"/>
    <xf numFmtId="170" fontId="24" fillId="0" borderId="0" xfId="2" applyNumberFormat="1" applyFont="1" applyFill="1" applyAlignment="1">
      <alignment horizontal="center"/>
    </xf>
    <xf numFmtId="165" fontId="31" fillId="0" borderId="0" xfId="2" applyNumberFormat="1" applyFont="1" applyFill="1" applyAlignment="1" applyProtection="1">
      <protection locked="0"/>
    </xf>
    <xf numFmtId="169" fontId="24" fillId="0" borderId="36" xfId="2" applyNumberFormat="1" applyFont="1" applyFill="1" applyBorder="1" applyAlignment="1"/>
    <xf numFmtId="168" fontId="24" fillId="0" borderId="0" xfId="2" applyNumberFormat="1" applyFont="1" applyFill="1" applyBorder="1" applyAlignment="1" applyProtection="1">
      <protection locked="0"/>
    </xf>
    <xf numFmtId="170" fontId="24" fillId="0" borderId="0" xfId="2" applyNumberFormat="1" applyFont="1" applyFill="1" applyAlignment="1" applyProtection="1">
      <protection locked="0"/>
    </xf>
    <xf numFmtId="170" fontId="31" fillId="0" borderId="16" xfId="2" applyNumberFormat="1" applyFont="1" applyFill="1" applyBorder="1" applyAlignment="1" applyProtection="1">
      <protection locked="0"/>
    </xf>
    <xf numFmtId="164" fontId="31" fillId="0" borderId="16" xfId="2" applyNumberFormat="1" applyFont="1" applyBorder="1" applyAlignment="1" applyProtection="1">
      <protection locked="0"/>
    </xf>
    <xf numFmtId="164" fontId="31" fillId="0" borderId="0" xfId="2" applyNumberFormat="1" applyFont="1" applyBorder="1" applyAlignment="1"/>
    <xf numFmtId="170" fontId="31" fillId="0" borderId="69" xfId="2" applyNumberFormat="1" applyFont="1" applyFill="1" applyBorder="1" applyAlignment="1" applyProtection="1">
      <protection locked="0"/>
    </xf>
    <xf numFmtId="170" fontId="26" fillId="0" borderId="79" xfId="2" applyNumberFormat="1" applyFont="1" applyBorder="1" applyAlignment="1"/>
    <xf numFmtId="0" fontId="24" fillId="0" borderId="0" xfId="2" quotePrefix="1" applyNumberFormat="1" applyFont="1" applyAlignment="1">
      <alignment horizontal="left"/>
    </xf>
    <xf numFmtId="170" fontId="26" fillId="0" borderId="0" xfId="2" quotePrefix="1" applyNumberFormat="1" applyFont="1" applyAlignment="1">
      <alignment horizontal="left"/>
    </xf>
    <xf numFmtId="175" fontId="26" fillId="0" borderId="79" xfId="4" applyNumberFormat="1" applyFont="1" applyFill="1" applyBorder="1"/>
    <xf numFmtId="166" fontId="26" fillId="0" borderId="79" xfId="4" applyNumberFormat="1" applyFont="1" applyFill="1" applyBorder="1"/>
    <xf numFmtId="170" fontId="31" fillId="0" borderId="16" xfId="5" applyNumberFormat="1" applyFont="1" applyFill="1" applyBorder="1"/>
    <xf numFmtId="170" fontId="31" fillId="0" borderId="79" xfId="4" applyNumberFormat="1" applyFont="1" applyFill="1" applyBorder="1"/>
    <xf numFmtId="170" fontId="31" fillId="0" borderId="0" xfId="4" applyNumberFormat="1" applyFont="1" applyFill="1" applyBorder="1"/>
    <xf numFmtId="170" fontId="31" fillId="0" borderId="0" xfId="5" applyNumberFormat="1" applyFont="1" applyFill="1" applyBorder="1"/>
    <xf numFmtId="170" fontId="31" fillId="0" borderId="0" xfId="4" quotePrefix="1" applyNumberFormat="1" applyFont="1" applyFill="1" applyAlignment="1">
      <alignment horizontal="right"/>
    </xf>
    <xf numFmtId="170" fontId="26" fillId="0" borderId="69" xfId="4" quotePrefix="1" applyNumberFormat="1" applyFont="1" applyBorder="1" applyAlignment="1">
      <alignment horizontal="center"/>
    </xf>
    <xf numFmtId="170" fontId="26" fillId="0" borderId="69" xfId="4" quotePrefix="1" applyNumberFormat="1" applyFont="1" applyBorder="1" applyAlignment="1">
      <alignment horizontal="right"/>
    </xf>
    <xf numFmtId="0" fontId="31" fillId="0" borderId="69" xfId="2" applyNumberFormat="1" applyFont="1" applyBorder="1" applyAlignment="1">
      <alignment horizontal="center"/>
    </xf>
    <xf numFmtId="165" fontId="26" fillId="0" borderId="0" xfId="2" applyNumberFormat="1" applyFont="1" applyBorder="1"/>
    <xf numFmtId="165" fontId="26" fillId="0" borderId="28" xfId="2" applyNumberFormat="1" applyFont="1" applyBorder="1" applyAlignment="1"/>
    <xf numFmtId="165" fontId="29" fillId="0" borderId="0" xfId="2" applyNumberFormat="1" applyFont="1" applyBorder="1"/>
    <xf numFmtId="165" fontId="30" fillId="0" borderId="0" xfId="2" applyNumberFormat="1" applyFont="1" applyBorder="1" applyAlignment="1"/>
    <xf numFmtId="165" fontId="29" fillId="0" borderId="0" xfId="2" applyNumberFormat="1" applyFont="1" applyBorder="1" applyAlignment="1"/>
    <xf numFmtId="0" fontId="31" fillId="0" borderId="69" xfId="2" quotePrefix="1" applyNumberFormat="1" applyFont="1" applyBorder="1" applyAlignment="1">
      <alignment horizontal="center"/>
    </xf>
    <xf numFmtId="165" fontId="31" fillId="0" borderId="69" xfId="2" applyNumberFormat="1" applyFont="1" applyBorder="1" applyAlignment="1">
      <alignment horizontal="center"/>
    </xf>
    <xf numFmtId="170" fontId="47" fillId="0" borderId="0" xfId="2" quotePrefix="1" applyNumberFormat="1" applyFont="1" applyBorder="1" applyAlignment="1"/>
    <xf numFmtId="0" fontId="54" fillId="0" borderId="0" xfId="836" quotePrefix="1" applyNumberFormat="1" applyFont="1" applyAlignment="1">
      <alignment horizontal="left"/>
    </xf>
    <xf numFmtId="166" fontId="26" fillId="0" borderId="79" xfId="2" applyNumberFormat="1" applyFont="1" applyBorder="1" applyAlignment="1"/>
    <xf numFmtId="170" fontId="31" fillId="0" borderId="0" xfId="2" quotePrefix="1" applyNumberFormat="1" applyFont="1" applyAlignment="1"/>
    <xf numFmtId="166" fontId="31" fillId="0" borderId="0" xfId="2" applyNumberFormat="1" applyFont="1" applyBorder="1"/>
    <xf numFmtId="164" fontId="31" fillId="0" borderId="45" xfId="2" applyNumberFormat="1" applyFont="1" applyBorder="1"/>
    <xf numFmtId="0" fontId="34" fillId="0" borderId="0" xfId="2" applyNumberFormat="1" applyFont="1" applyAlignment="1"/>
    <xf numFmtId="170" fontId="72" fillId="0" borderId="0" xfId="2" applyNumberFormat="1" applyFont="1" applyAlignment="1"/>
    <xf numFmtId="164" fontId="31" fillId="0" borderId="45" xfId="2" applyNumberFormat="1" applyFont="1" applyBorder="1" applyAlignment="1"/>
    <xf numFmtId="0" fontId="27" fillId="0" borderId="0" xfId="2" applyNumberFormat="1" applyFont="1" applyFill="1" applyAlignment="1"/>
    <xf numFmtId="166" fontId="26" fillId="0" borderId="0" xfId="2" applyNumberFormat="1" applyFont="1" applyFill="1" applyAlignment="1">
      <alignment horizontal="right"/>
    </xf>
    <xf numFmtId="166" fontId="26" fillId="0" borderId="21" xfId="2" applyNumberFormat="1" applyFont="1" applyFill="1" applyBorder="1" applyAlignment="1"/>
    <xf numFmtId="170" fontId="26" fillId="0" borderId="18" xfId="2" applyNumberFormat="1" applyFont="1" applyFill="1" applyBorder="1" applyAlignment="1"/>
    <xf numFmtId="170" fontId="26" fillId="0" borderId="47" xfId="2" applyNumberFormat="1" applyFont="1" applyFill="1" applyBorder="1" applyAlignment="1"/>
    <xf numFmtId="170" fontId="31" fillId="0" borderId="45" xfId="2" applyNumberFormat="1" applyFont="1" applyFill="1" applyBorder="1" applyAlignment="1">
      <alignment horizontal="right"/>
    </xf>
    <xf numFmtId="170" fontId="46" fillId="0" borderId="0" xfId="2" applyNumberFormat="1" applyFont="1" applyBorder="1" applyAlignment="1"/>
    <xf numFmtId="170" fontId="63" fillId="0" borderId="0" xfId="2" applyNumberFormat="1" applyFont="1" applyBorder="1"/>
    <xf numFmtId="166" fontId="47" fillId="0" borderId="0" xfId="2" applyNumberFormat="1" applyFont="1" applyBorder="1" applyAlignment="1"/>
    <xf numFmtId="174" fontId="46" fillId="0" borderId="0" xfId="2" applyNumberFormat="1" applyFont="1" applyBorder="1" applyAlignment="1"/>
    <xf numFmtId="174" fontId="52" fillId="0" borderId="0" xfId="2" applyNumberFormat="1" applyFont="1" applyBorder="1" applyAlignment="1"/>
    <xf numFmtId="165" fontId="24" fillId="0" borderId="0" xfId="0" applyNumberFormat="1" applyFont="1" applyAlignment="1">
      <alignment horizontal="left"/>
    </xf>
    <xf numFmtId="0" fontId="24" fillId="0" borderId="0" xfId="0" applyNumberFormat="1" applyFont="1" applyAlignment="1">
      <alignment horizontal="left"/>
    </xf>
    <xf numFmtId="170" fontId="31" fillId="0" borderId="10" xfId="0" applyNumberFormat="1" applyFont="1" applyFill="1" applyBorder="1" applyAlignment="1"/>
    <xf numFmtId="43" fontId="26" fillId="0" borderId="0" xfId="2" applyNumberFormat="1" applyFont="1" applyAlignment="1"/>
    <xf numFmtId="165" fontId="0" fillId="0" borderId="0" xfId="2" applyNumberFormat="1" applyFont="1" applyFill="1" applyAlignment="1"/>
    <xf numFmtId="175" fontId="31"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31" fillId="0" borderId="45" xfId="2" applyNumberFormat="1" applyFont="1" applyBorder="1" applyAlignment="1" applyProtection="1">
      <protection locked="0"/>
    </xf>
    <xf numFmtId="170" fontId="26"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31"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26" fillId="0" borderId="0" xfId="2" quotePrefix="1" applyNumberFormat="1" applyFont="1" applyFill="1" applyAlignment="1"/>
    <xf numFmtId="195" fontId="26" fillId="0" borderId="0" xfId="2" applyNumberFormat="1" applyFont="1" applyFill="1" applyAlignment="1">
      <alignment horizontal="right"/>
    </xf>
    <xf numFmtId="170" fontId="26" fillId="0" borderId="13" xfId="2" applyNumberFormat="1" applyFont="1" applyFill="1" applyBorder="1" applyAlignment="1"/>
    <xf numFmtId="170" fontId="31"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26" fillId="0" borderId="79" xfId="2" applyNumberFormat="1" applyFont="1" applyFill="1" applyBorder="1" applyAlignment="1"/>
    <xf numFmtId="170" fontId="31" fillId="0" borderId="13" xfId="2" applyNumberFormat="1" applyFont="1" applyFill="1" applyBorder="1" applyAlignment="1"/>
    <xf numFmtId="170" fontId="53" fillId="0" borderId="0" xfId="2" applyNumberFormat="1" applyFont="1" applyFill="1" applyAlignment="1"/>
    <xf numFmtId="170" fontId="29" fillId="0" borderId="0" xfId="2" applyNumberFormat="1" applyFont="1" applyFill="1" applyAlignment="1"/>
    <xf numFmtId="170" fontId="31" fillId="0" borderId="0" xfId="2" applyNumberFormat="1" applyFont="1" applyFill="1" applyAlignment="1">
      <alignment horizontal="center"/>
    </xf>
    <xf numFmtId="43" fontId="26" fillId="0" borderId="0" xfId="2" applyNumberFormat="1" applyFont="1" applyFill="1" applyAlignment="1"/>
    <xf numFmtId="170" fontId="26" fillId="0" borderId="0" xfId="2" quotePrefix="1" applyNumberFormat="1" applyFont="1" applyFill="1" applyBorder="1" applyAlignment="1">
      <alignment horizontal="right"/>
    </xf>
    <xf numFmtId="170" fontId="26" fillId="0" borderId="0" xfId="2" quotePrefix="1" applyNumberFormat="1" applyFont="1" applyFill="1" applyBorder="1" applyAlignment="1" applyProtection="1">
      <alignment horizontal="center"/>
      <protection locked="0"/>
    </xf>
    <xf numFmtId="165" fontId="53" fillId="0" borderId="0" xfId="2" applyNumberFormat="1" applyFont="1" applyFill="1" applyAlignment="1"/>
    <xf numFmtId="165" fontId="54" fillId="0" borderId="0" xfId="2" applyNumberFormat="1" applyFont="1" applyFill="1" applyBorder="1" applyAlignment="1">
      <alignment horizontal="right"/>
    </xf>
    <xf numFmtId="1" fontId="31" fillId="0" borderId="10" xfId="2" quotePrefix="1" applyNumberFormat="1" applyFont="1" applyFill="1" applyBorder="1" applyAlignment="1">
      <alignment horizontal="center"/>
    </xf>
    <xf numFmtId="165" fontId="26" fillId="0" borderId="0" xfId="2" applyNumberFormat="1" applyFont="1" applyFill="1" applyBorder="1" applyAlignment="1"/>
    <xf numFmtId="0" fontId="0" fillId="0" borderId="0" xfId="2" applyFont="1" applyFill="1"/>
    <xf numFmtId="165" fontId="76" fillId="0" borderId="0" xfId="2" applyNumberFormat="1" applyFont="1" applyFill="1" applyAlignment="1"/>
    <xf numFmtId="165" fontId="77" fillId="0" borderId="0" xfId="2" applyNumberFormat="1" applyFont="1" applyFill="1" applyAlignment="1"/>
    <xf numFmtId="165" fontId="75" fillId="0" borderId="0" xfId="2" applyNumberFormat="1" applyFont="1" applyFill="1" applyAlignment="1"/>
    <xf numFmtId="165" fontId="154" fillId="0" borderId="0" xfId="2" applyNumberFormat="1" applyFont="1" applyFill="1" applyAlignment="1"/>
    <xf numFmtId="165" fontId="155" fillId="0" borderId="0" xfId="2" applyNumberFormat="1" applyFont="1" applyFill="1" applyAlignment="1"/>
    <xf numFmtId="165" fontId="158" fillId="0" borderId="0" xfId="2" applyNumberFormat="1" applyFont="1" applyFill="1" applyAlignment="1"/>
    <xf numFmtId="169" fontId="26" fillId="0" borderId="0" xfId="2" quotePrefix="1" applyNumberFormat="1" applyFont="1" applyFill="1" applyAlignment="1">
      <alignment horizontal="right"/>
    </xf>
    <xf numFmtId="170" fontId="31" fillId="0" borderId="0" xfId="2" quotePrefix="1" applyNumberFormat="1" applyFont="1" applyFill="1" applyAlignment="1"/>
    <xf numFmtId="170" fontId="26" fillId="0" borderId="20" xfId="2" quotePrefix="1" applyNumberFormat="1" applyFont="1" applyFill="1" applyBorder="1" applyAlignment="1"/>
    <xf numFmtId="170" fontId="26" fillId="0" borderId="10" xfId="2" quotePrefix="1" applyNumberFormat="1" applyFont="1" applyFill="1" applyBorder="1" applyAlignment="1"/>
    <xf numFmtId="170" fontId="31" fillId="0" borderId="40" xfId="2" applyNumberFormat="1" applyFont="1" applyFill="1" applyBorder="1" applyAlignment="1"/>
    <xf numFmtId="174" fontId="31" fillId="0" borderId="0" xfId="6" applyNumberFormat="1" applyFont="1" applyFill="1" applyAlignment="1"/>
    <xf numFmtId="174" fontId="31" fillId="0" borderId="17" xfId="6" applyNumberFormat="1" applyFont="1" applyFill="1" applyBorder="1" applyAlignment="1"/>
    <xf numFmtId="0" fontId="70" fillId="0" borderId="0" xfId="2" applyFont="1" applyFill="1"/>
    <xf numFmtId="165" fontId="78" fillId="0" borderId="0" xfId="2" applyNumberFormat="1" applyFont="1" applyFill="1" applyAlignment="1">
      <alignment horizontal="centerContinuous"/>
    </xf>
    <xf numFmtId="0" fontId="68" fillId="0" borderId="0" xfId="2" applyNumberFormat="1" applyFont="1" applyFill="1" applyAlignment="1"/>
    <xf numFmtId="165" fontId="75" fillId="0" borderId="0" xfId="2" applyNumberFormat="1" applyFont="1" applyFill="1" applyAlignment="1">
      <alignment horizontal="centerContinuous"/>
    </xf>
    <xf numFmtId="165" fontId="156" fillId="0" borderId="0" xfId="2" applyNumberFormat="1" applyFont="1" applyFill="1" applyAlignment="1">
      <alignment horizontal="centerContinuous"/>
    </xf>
    <xf numFmtId="0" fontId="31" fillId="0" borderId="0" xfId="2" quotePrefix="1" applyNumberFormat="1" applyFont="1" applyFill="1" applyBorder="1" applyAlignment="1">
      <alignment horizontal="center"/>
    </xf>
    <xf numFmtId="0" fontId="157" fillId="0" borderId="0" xfId="2" applyFont="1" applyFill="1" applyBorder="1" applyAlignment="1"/>
    <xf numFmtId="165" fontId="158" fillId="0" borderId="0" xfId="2" applyNumberFormat="1" applyFont="1" applyFill="1" applyBorder="1" applyAlignment="1"/>
    <xf numFmtId="165" fontId="31" fillId="0" borderId="0" xfId="2" applyNumberFormat="1" applyFont="1" applyFill="1" applyAlignment="1">
      <alignment horizontal="center"/>
    </xf>
    <xf numFmtId="165" fontId="31" fillId="0" borderId="10" xfId="2" applyNumberFormat="1" applyFont="1" applyFill="1" applyBorder="1" applyAlignment="1">
      <alignment horizontal="center"/>
    </xf>
    <xf numFmtId="0" fontId="24" fillId="0" borderId="0" xfId="2" applyFont="1" applyFill="1" applyBorder="1"/>
    <xf numFmtId="166" fontId="26" fillId="0" borderId="13" xfId="2" applyNumberFormat="1" applyFont="1" applyFill="1" applyBorder="1" applyAlignment="1"/>
    <xf numFmtId="0" fontId="0" fillId="0" borderId="0" xfId="2" applyFont="1" applyFill="1" applyBorder="1"/>
    <xf numFmtId="166" fontId="26" fillId="0" borderId="79" xfId="2" applyNumberFormat="1" applyFont="1" applyFill="1" applyBorder="1" applyAlignment="1"/>
    <xf numFmtId="166" fontId="0" fillId="0" borderId="0" xfId="2" applyNumberFormat="1" applyFont="1" applyFill="1"/>
    <xf numFmtId="170" fontId="31" fillId="0" borderId="15" xfId="2" applyNumberFormat="1" applyFont="1" applyFill="1" applyBorder="1" applyAlignment="1"/>
    <xf numFmtId="170" fontId="26" fillId="0" borderId="13" xfId="2" applyNumberFormat="1" applyFont="1" applyFill="1" applyBorder="1" applyAlignment="1">
      <alignment horizontal="center"/>
    </xf>
    <xf numFmtId="170" fontId="31" fillId="0" borderId="79" xfId="2" applyNumberFormat="1" applyFont="1" applyFill="1" applyBorder="1" applyAlignment="1">
      <alignment horizontal="center"/>
    </xf>
    <xf numFmtId="170" fontId="31" fillId="0" borderId="0" xfId="2" applyNumberFormat="1" applyFont="1" applyFill="1" applyBorder="1" applyAlignment="1">
      <alignment horizontal="center"/>
    </xf>
    <xf numFmtId="170" fontId="31" fillId="0" borderId="0" xfId="2" applyNumberFormat="1" applyFont="1" applyFill="1" applyAlignment="1">
      <alignment horizontal="right"/>
    </xf>
    <xf numFmtId="170" fontId="26" fillId="0" borderId="79" xfId="2" applyNumberFormat="1" applyFont="1" applyFill="1" applyBorder="1" applyAlignment="1">
      <alignment horizontal="center"/>
    </xf>
    <xf numFmtId="170" fontId="31" fillId="0" borderId="79" xfId="2" applyNumberFormat="1" applyFont="1" applyFill="1" applyBorder="1" applyAlignment="1"/>
    <xf numFmtId="170" fontId="31" fillId="0" borderId="69" xfId="2" applyNumberFormat="1" applyFont="1" applyFill="1" applyBorder="1" applyAlignment="1"/>
    <xf numFmtId="170" fontId="31" fillId="0" borderId="15" xfId="2" applyNumberFormat="1" applyFont="1" applyFill="1" applyBorder="1" applyAlignment="1">
      <alignment horizontal="center"/>
    </xf>
    <xf numFmtId="170" fontId="26" fillId="0" borderId="0" xfId="2" applyNumberFormat="1" applyFont="1" applyFill="1" applyAlignment="1">
      <alignment horizontal="right" vertical="center"/>
    </xf>
    <xf numFmtId="170" fontId="26" fillId="0" borderId="21" xfId="2" applyNumberFormat="1" applyFont="1" applyFill="1" applyBorder="1" applyAlignment="1">
      <alignment horizontal="right" vertical="center"/>
    </xf>
    <xf numFmtId="170" fontId="26" fillId="0" borderId="69" xfId="2" applyNumberFormat="1" applyFont="1" applyFill="1" applyBorder="1" applyAlignment="1">
      <alignment horizontal="right"/>
    </xf>
    <xf numFmtId="170" fontId="31" fillId="0" borderId="15" xfId="2" applyNumberFormat="1" applyFont="1" applyFill="1" applyBorder="1"/>
    <xf numFmtId="170" fontId="31" fillId="0" borderId="0" xfId="6" applyNumberFormat="1" applyFont="1" applyFill="1" applyBorder="1" applyAlignment="1"/>
    <xf numFmtId="174" fontId="31" fillId="0" borderId="21" xfId="6" applyNumberFormat="1" applyFont="1" applyFill="1" applyBorder="1" applyAlignment="1"/>
    <xf numFmtId="174" fontId="31" fillId="0" borderId="13" xfId="6" applyNumberFormat="1" applyFont="1" applyFill="1" applyBorder="1" applyAlignment="1"/>
    <xf numFmtId="174" fontId="31" fillId="0" borderId="0" xfId="2" applyNumberFormat="1" applyFont="1" applyFill="1" applyBorder="1"/>
    <xf numFmtId="174" fontId="31" fillId="0" borderId="15" xfId="2" applyNumberFormat="1" applyFont="1" applyFill="1" applyBorder="1"/>
    <xf numFmtId="165" fontId="80" fillId="0" borderId="0" xfId="2" applyNumberFormat="1" applyFont="1" applyFill="1" applyAlignment="1"/>
    <xf numFmtId="170" fontId="26" fillId="0" borderId="0" xfId="1" quotePrefix="1" applyNumberFormat="1" applyFont="1" applyFill="1" applyAlignment="1"/>
    <xf numFmtId="170" fontId="31" fillId="0" borderId="0" xfId="2" quotePrefix="1" applyNumberFormat="1" applyFont="1" applyFill="1" applyAlignment="1">
      <alignment horizontal="center"/>
    </xf>
    <xf numFmtId="0" fontId="157" fillId="0" borderId="0" xfId="2" applyFont="1" applyFill="1"/>
    <xf numFmtId="166" fontId="26" fillId="0" borderId="18" xfId="2" applyNumberFormat="1" applyFont="1" applyFill="1" applyBorder="1" applyAlignment="1"/>
    <xf numFmtId="170" fontId="0" fillId="0" borderId="10" xfId="2" applyNumberFormat="1" applyFont="1" applyFill="1" applyBorder="1"/>
    <xf numFmtId="170" fontId="26" fillId="0" borderId="0" xfId="1" applyNumberFormat="1" applyFont="1" applyFill="1" applyAlignment="1">
      <alignment horizontal="center"/>
    </xf>
    <xf numFmtId="170" fontId="24" fillId="0" borderId="0" xfId="1" applyNumberFormat="1" applyFont="1" applyFill="1" applyAlignment="1">
      <alignment horizontal="center"/>
    </xf>
    <xf numFmtId="170" fontId="26" fillId="0" borderId="69" xfId="1" applyNumberFormat="1" applyFont="1" applyFill="1" applyBorder="1" applyAlignment="1">
      <alignment horizontal="center"/>
    </xf>
    <xf numFmtId="170" fontId="0" fillId="0" borderId="19" xfId="2" applyNumberFormat="1" applyFont="1" applyFill="1" applyBorder="1" applyAlignment="1">
      <alignment horizontal="center"/>
    </xf>
    <xf numFmtId="166" fontId="31" fillId="0" borderId="0" xfId="2" applyNumberFormat="1" applyFont="1" applyFill="1" applyBorder="1" applyAlignment="1"/>
    <xf numFmtId="166" fontId="30" fillId="0" borderId="0" xfId="0" applyNumberFormat="1" applyFont="1" applyFill="1" applyAlignment="1"/>
    <xf numFmtId="166" fontId="43" fillId="0" borderId="0" xfId="0" applyNumberFormat="1" applyFont="1" applyFill="1" applyBorder="1" applyAlignment="1"/>
    <xf numFmtId="166" fontId="32" fillId="0" borderId="0" xfId="0" applyNumberFormat="1" applyFont="1" applyFill="1" applyBorder="1" applyAlignment="1">
      <alignment horizontal="center"/>
    </xf>
    <xf numFmtId="166" fontId="31" fillId="0" borderId="10" xfId="0" quotePrefix="1" applyNumberFormat="1" applyFont="1" applyFill="1" applyBorder="1" applyAlignment="1">
      <alignment horizontal="center"/>
    </xf>
    <xf numFmtId="166" fontId="31" fillId="0" borderId="10" xfId="0" applyNumberFormat="1" applyFont="1" applyFill="1" applyBorder="1" applyAlignment="1" applyProtection="1">
      <alignment horizontal="center"/>
      <protection locked="0"/>
    </xf>
    <xf numFmtId="166" fontId="26" fillId="0" borderId="14" xfId="0" applyNumberFormat="1" applyFont="1" applyFill="1" applyBorder="1" applyAlignment="1"/>
    <xf numFmtId="174" fontId="26" fillId="0" borderId="14" xfId="0" applyNumberFormat="1" applyFont="1" applyFill="1" applyBorder="1" applyAlignment="1"/>
    <xf numFmtId="174" fontId="26" fillId="0" borderId="0" xfId="0" applyNumberFormat="1" applyFont="1" applyFill="1" applyAlignment="1" applyProtection="1">
      <protection locked="0"/>
    </xf>
    <xf numFmtId="170" fontId="26" fillId="0" borderId="14" xfId="0" applyNumberFormat="1" applyFont="1" applyFill="1" applyBorder="1" applyAlignment="1">
      <alignment horizontal="center"/>
    </xf>
    <xf numFmtId="170" fontId="26" fillId="0" borderId="0" xfId="0" applyNumberFormat="1" applyFont="1" applyFill="1" applyBorder="1" applyAlignment="1">
      <alignment horizontal="center"/>
    </xf>
    <xf numFmtId="170" fontId="31" fillId="0" borderId="14" xfId="0" applyNumberFormat="1" applyFont="1" applyFill="1" applyBorder="1" applyAlignment="1"/>
    <xf numFmtId="170" fontId="31" fillId="0" borderId="16" xfId="0" applyNumberFormat="1" applyFont="1" applyFill="1" applyBorder="1" applyAlignment="1"/>
    <xf numFmtId="170" fontId="31" fillId="0" borderId="16" xfId="0" applyNumberFormat="1" applyFont="1" applyFill="1" applyBorder="1" applyAlignment="1" applyProtection="1">
      <protection locked="0"/>
    </xf>
    <xf numFmtId="170" fontId="26" fillId="0" borderId="0" xfId="0" quotePrefix="1" applyNumberFormat="1" applyFont="1" applyFill="1" applyAlignment="1" applyProtection="1">
      <alignment horizontal="center"/>
      <protection locked="0"/>
    </xf>
    <xf numFmtId="170" fontId="26" fillId="0" borderId="10" xfId="0" applyNumberFormat="1" applyFont="1" applyFill="1" applyBorder="1" applyAlignment="1"/>
    <xf numFmtId="170" fontId="31" fillId="0" borderId="14" xfId="0" applyNumberFormat="1" applyFont="1" applyFill="1" applyBorder="1" applyAlignment="1">
      <alignment horizontal="center"/>
    </xf>
    <xf numFmtId="170" fontId="31" fillId="0" borderId="0" xfId="0" applyNumberFormat="1" applyFont="1" applyFill="1" applyBorder="1" applyAlignment="1">
      <alignment horizontal="center"/>
    </xf>
    <xf numFmtId="170" fontId="31" fillId="0" borderId="16" xfId="0" quotePrefix="1" applyNumberFormat="1" applyFont="1" applyFill="1" applyBorder="1" applyAlignment="1">
      <alignment horizontal="right"/>
    </xf>
    <xf numFmtId="181" fontId="24" fillId="0" borderId="0" xfId="1767" applyNumberFormat="1" applyFont="1" applyBorder="1" applyAlignment="1">
      <alignment horizontal="right"/>
    </xf>
    <xf numFmtId="178" fontId="24" fillId="0" borderId="0" xfId="1767" applyNumberFormat="1" applyFont="1" applyAlignment="1">
      <alignment horizontal="right"/>
    </xf>
    <xf numFmtId="178" fontId="24" fillId="0" borderId="0" xfId="1767" applyNumberFormat="1" applyFont="1" applyFill="1" applyAlignment="1">
      <alignment horizontal="right"/>
    </xf>
    <xf numFmtId="178" fontId="24" fillId="0" borderId="0" xfId="1767" applyNumberFormat="1" applyFont="1" applyFill="1" applyAlignment="1"/>
    <xf numFmtId="178" fontId="24" fillId="0" borderId="0" xfId="1767" quotePrefix="1" applyNumberFormat="1" applyFont="1" applyAlignment="1">
      <alignment horizontal="center"/>
    </xf>
    <xf numFmtId="178" fontId="24" fillId="0" borderId="0" xfId="1767" applyNumberFormat="1" applyFont="1" applyAlignment="1">
      <alignment horizontal="center"/>
    </xf>
    <xf numFmtId="178" fontId="24" fillId="0" borderId="0" xfId="1767" applyNumberFormat="1" applyFont="1" applyBorder="1" applyAlignment="1">
      <alignment horizontal="center"/>
    </xf>
    <xf numFmtId="178" fontId="87" fillId="0" borderId="0" xfId="1767" applyNumberFormat="1" applyFont="1" applyFill="1" applyAlignment="1"/>
    <xf numFmtId="178" fontId="29" fillId="0" borderId="0" xfId="1767" applyNumberFormat="1" applyFont="1" applyAlignment="1"/>
    <xf numFmtId="178" fontId="24" fillId="0" borderId="0" xfId="1767" quotePrefix="1" applyNumberFormat="1" applyFont="1" applyAlignment="1"/>
    <xf numFmtId="178" fontId="24" fillId="0" borderId="0" xfId="1767" applyNumberFormat="1" applyFont="1" applyFill="1" applyAlignment="1">
      <alignment horizontal="center"/>
    </xf>
    <xf numFmtId="178" fontId="24" fillId="0" borderId="0" xfId="1767" applyNumberFormat="1" applyFont="1" applyFill="1" applyBorder="1" applyAlignment="1">
      <alignment horizontal="right"/>
    </xf>
    <xf numFmtId="178" fontId="24" fillId="0" borderId="0" xfId="1767" quotePrefix="1" applyNumberFormat="1" applyFont="1" applyFill="1" applyAlignment="1">
      <alignment horizontal="center"/>
    </xf>
    <xf numFmtId="0" fontId="31" fillId="0" borderId="10" xfId="2" applyNumberFormat="1" applyFont="1" applyBorder="1" applyAlignment="1">
      <alignment horizontal="center"/>
    </xf>
    <xf numFmtId="164" fontId="26" fillId="0" borderId="16" xfId="0" applyNumberFormat="1" applyFont="1" applyBorder="1" applyAlignment="1" applyProtection="1">
      <protection locked="0"/>
    </xf>
    <xf numFmtId="170" fontId="31" fillId="0" borderId="16" xfId="4" applyNumberFormat="1" applyFont="1" applyFill="1" applyBorder="1"/>
    <xf numFmtId="0" fontId="157" fillId="0" borderId="0" xfId="2" applyFont="1" applyBorder="1"/>
    <xf numFmtId="0" fontId="31" fillId="0" borderId="0" xfId="2" applyNumberFormat="1" applyFont="1" applyAlignment="1">
      <alignment horizontal="left"/>
    </xf>
    <xf numFmtId="0" fontId="54" fillId="0" borderId="0" xfId="2" applyNumberFormat="1" applyFont="1" applyFill="1" applyAlignment="1" applyProtection="1">
      <alignment vertical="justify"/>
      <protection locked="0"/>
    </xf>
    <xf numFmtId="166" fontId="26" fillId="0" borderId="28" xfId="2" applyNumberFormat="1" applyFont="1" applyFill="1" applyBorder="1" applyAlignment="1"/>
    <xf numFmtId="174" fontId="0" fillId="0" borderId="0" xfId="2" applyNumberFormat="1" applyFont="1" applyFill="1"/>
    <xf numFmtId="170" fontId="24" fillId="0" borderId="0" xfId="2" quotePrefix="1" applyNumberFormat="1" applyFont="1" applyFill="1" applyAlignment="1">
      <alignment horizontal="center"/>
    </xf>
    <xf numFmtId="174" fontId="24"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64" fontId="170" fillId="0" borderId="0" xfId="0" applyNumberFormat="1" applyFont="1" applyBorder="1" applyAlignment="1" applyProtection="1">
      <protection locked="0"/>
    </xf>
    <xf numFmtId="170" fontId="170" fillId="0" borderId="69" xfId="1" applyNumberFormat="1" applyFont="1" applyBorder="1" applyAlignment="1">
      <alignment horizontal="center"/>
    </xf>
    <xf numFmtId="164" fontId="170" fillId="0" borderId="69" xfId="0" applyNumberFormat="1" applyFont="1" applyBorder="1" applyAlignment="1" applyProtection="1">
      <protection locked="0"/>
    </xf>
    <xf numFmtId="170" fontId="170" fillId="0" borderId="0" xfId="2" applyNumberFormat="1" applyFont="1" applyBorder="1" applyAlignment="1"/>
    <xf numFmtId="170" fontId="169" fillId="0" borderId="69" xfId="2" applyNumberFormat="1" applyFont="1" applyBorder="1" applyAlignment="1"/>
    <xf numFmtId="166" fontId="169" fillId="0" borderId="0" xfId="2" applyNumberFormat="1" applyFont="1" applyBorder="1" applyAlignment="1"/>
    <xf numFmtId="164" fontId="169" fillId="0" borderId="69"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9" xfId="2" applyNumberFormat="1" applyFont="1" applyBorder="1" applyAlignment="1"/>
    <xf numFmtId="164" fontId="170" fillId="0" borderId="69"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4" xfId="2" applyNumberFormat="1" applyFont="1" applyBorder="1" applyAlignment="1"/>
    <xf numFmtId="166" fontId="169" fillId="0" borderId="0" xfId="2" applyNumberFormat="1" applyFont="1" applyBorder="1" applyAlignment="1">
      <alignment horizontal="right"/>
    </xf>
    <xf numFmtId="164" fontId="169" fillId="0" borderId="74"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4" fontId="169" fillId="0" borderId="35" xfId="1940"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9"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26" fillId="33" borderId="10" xfId="2" applyFont="1" applyFill="1" applyBorder="1" applyAlignment="1">
      <alignment horizontal="center"/>
    </xf>
    <xf numFmtId="0" fontId="0" fillId="0" borderId="10" xfId="2" applyFont="1" applyBorder="1"/>
    <xf numFmtId="174" fontId="0" fillId="0" borderId="0" xfId="2" applyNumberFormat="1" applyFont="1"/>
    <xf numFmtId="164" fontId="28" fillId="0" borderId="0" xfId="0" applyFont="1" applyFill="1" applyBorder="1" applyAlignment="1">
      <alignment horizontal="left"/>
    </xf>
    <xf numFmtId="166" fontId="25" fillId="0" borderId="0" xfId="0" applyNumberFormat="1" applyFont="1" applyFill="1" applyBorder="1" applyAlignment="1">
      <alignment horizontal="left"/>
    </xf>
    <xf numFmtId="37" fontId="31" fillId="0" borderId="10" xfId="2" applyNumberFormat="1" applyFont="1" applyBorder="1" applyAlignment="1">
      <alignment horizontal="centerContinuous"/>
    </xf>
    <xf numFmtId="37" fontId="24" fillId="0" borderId="10" xfId="2" applyNumberFormat="1" applyFont="1" applyBorder="1"/>
    <xf numFmtId="0" fontId="24" fillId="33" borderId="10" xfId="2" applyFont="1" applyFill="1" applyBorder="1" applyAlignment="1">
      <alignment horizontal="center"/>
    </xf>
    <xf numFmtId="170" fontId="0" fillId="0" borderId="0" xfId="2" applyNumberFormat="1" applyFont="1" applyFill="1"/>
    <xf numFmtId="166" fontId="47" fillId="0" borderId="0" xfId="2" applyNumberFormat="1" applyFont="1" applyBorder="1" applyAlignment="1">
      <alignment horizontal="right"/>
    </xf>
    <xf numFmtId="170" fontId="31" fillId="0" borderId="46" xfId="2" applyNumberFormat="1" applyFont="1" applyBorder="1" applyAlignment="1"/>
    <xf numFmtId="170" fontId="168" fillId="0" borderId="10" xfId="2" applyNumberFormat="1" applyFont="1" applyBorder="1" applyAlignment="1"/>
    <xf numFmtId="170" fontId="31" fillId="0" borderId="45" xfId="4" applyNumberFormat="1" applyFont="1" applyFill="1" applyBorder="1"/>
    <xf numFmtId="0" fontId="31" fillId="0" borderId="10" xfId="2" applyFont="1" applyFill="1" applyBorder="1" applyAlignment="1">
      <alignment horizontal="center"/>
    </xf>
    <xf numFmtId="37" fontId="124" fillId="0" borderId="10" xfId="2" applyNumberFormat="1" applyFont="1" applyFill="1" applyBorder="1"/>
    <xf numFmtId="170" fontId="24" fillId="0" borderId="10" xfId="2" applyNumberFormat="1" applyFont="1" applyBorder="1" applyAlignment="1">
      <alignment horizontal="right"/>
    </xf>
    <xf numFmtId="37" fontId="31" fillId="0" borderId="10" xfId="2" applyNumberFormat="1" applyFont="1" applyBorder="1" applyAlignment="1">
      <alignment horizontal="center"/>
    </xf>
    <xf numFmtId="37" fontId="31" fillId="0" borderId="10" xfId="2" applyNumberFormat="1" applyFont="1" applyBorder="1" applyAlignment="1"/>
    <xf numFmtId="37" fontId="126" fillId="0" borderId="0" xfId="2" applyNumberFormat="1" applyFont="1" applyBorder="1"/>
    <xf numFmtId="37" fontId="53" fillId="0" borderId="0" xfId="2" applyNumberFormat="1" applyFont="1" applyBorder="1" applyAlignment="1"/>
    <xf numFmtId="37" fontId="127" fillId="0" borderId="0" xfId="2" applyNumberFormat="1" applyFont="1" applyBorder="1" applyAlignment="1"/>
    <xf numFmtId="37" fontId="54" fillId="0" borderId="0" xfId="2" applyNumberFormat="1" applyFont="1" applyFill="1" applyBorder="1" applyAlignment="1">
      <alignment horizontal="center"/>
    </xf>
    <xf numFmtId="37" fontId="54" fillId="0" borderId="0" xfId="2" quotePrefix="1" applyNumberFormat="1" applyFont="1" applyFill="1" applyBorder="1" applyAlignment="1">
      <alignment horizontal="center"/>
    </xf>
    <xf numFmtId="37" fontId="31" fillId="0" borderId="10" xfId="2" applyNumberFormat="1" applyFont="1" applyBorder="1" applyAlignment="1" applyProtection="1">
      <alignment horizontal="centerContinuous"/>
      <protection locked="0"/>
    </xf>
    <xf numFmtId="0" fontId="24" fillId="0" borderId="10" xfId="2" applyFont="1" applyFill="1" applyBorder="1" applyAlignment="1">
      <alignment horizontal="center"/>
    </xf>
    <xf numFmtId="170" fontId="24" fillId="0" borderId="0" xfId="2" applyNumberFormat="1" applyFont="1" applyBorder="1" applyAlignment="1">
      <alignment horizontal="center"/>
    </xf>
    <xf numFmtId="37" fontId="31" fillId="0" borderId="10" xfId="2" applyNumberFormat="1" applyFont="1" applyFill="1" applyBorder="1" applyAlignment="1">
      <alignment horizontal="centerContinuous"/>
    </xf>
    <xf numFmtId="37" fontId="24" fillId="0" borderId="10" xfId="2" applyNumberFormat="1" applyFont="1" applyFill="1" applyBorder="1"/>
    <xf numFmtId="174" fontId="24" fillId="0" borderId="0" xfId="2" quotePrefix="1" applyNumberFormat="1" applyFont="1" applyBorder="1" applyAlignment="1"/>
    <xf numFmtId="174" fontId="24" fillId="0" borderId="0" xfId="2" quotePrefix="1" applyNumberFormat="1" applyFont="1" applyBorder="1" applyAlignment="1">
      <alignment horizontal="center"/>
    </xf>
    <xf numFmtId="37" fontId="31" fillId="0" borderId="69" xfId="2" applyNumberFormat="1" applyFont="1" applyBorder="1" applyAlignment="1"/>
    <xf numFmtId="37" fontId="31" fillId="0" borderId="69" xfId="2" applyNumberFormat="1" applyFont="1" applyBorder="1" applyAlignment="1">
      <alignment horizontal="centerContinuous"/>
    </xf>
    <xf numFmtId="166" fontId="43" fillId="0" borderId="69" xfId="0" applyNumberFormat="1" applyFont="1" applyFill="1" applyBorder="1" applyAlignment="1"/>
    <xf numFmtId="165" fontId="27" fillId="0" borderId="69" xfId="0" applyNumberFormat="1" applyFont="1" applyFill="1" applyBorder="1" applyAlignment="1"/>
    <xf numFmtId="174" fontId="46" fillId="0" borderId="28" xfId="0" applyNumberFormat="1" applyFont="1" applyFill="1" applyBorder="1" applyAlignment="1"/>
    <xf numFmtId="166" fontId="48" fillId="0" borderId="0" xfId="0" applyNumberFormat="1" applyFont="1" applyFill="1" applyBorder="1" applyAlignment="1"/>
    <xf numFmtId="166" fontId="24" fillId="0" borderId="0" xfId="0" applyNumberFormat="1" applyFont="1" applyBorder="1" applyAlignment="1">
      <alignment horizontal="left"/>
    </xf>
    <xf numFmtId="169" fontId="24" fillId="0" borderId="0" xfId="2" applyNumberFormat="1" applyFont="1" applyBorder="1" applyAlignment="1"/>
    <xf numFmtId="170" fontId="31" fillId="0" borderId="69" xfId="2" applyNumberFormat="1" applyFont="1" applyBorder="1" applyAlignment="1">
      <alignment horizontal="right"/>
    </xf>
    <xf numFmtId="174" fontId="0" fillId="0" borderId="0" xfId="2" applyNumberFormat="1" applyFont="1" applyBorder="1"/>
    <xf numFmtId="174" fontId="31" fillId="0" borderId="42" xfId="2" applyNumberFormat="1" applyFont="1" applyBorder="1" applyAlignment="1"/>
    <xf numFmtId="0" fontId="31" fillId="0" borderId="10" xfId="2" applyFont="1" applyFill="1" applyBorder="1" applyAlignment="1">
      <alignment horizontal="center"/>
    </xf>
    <xf numFmtId="166" fontId="24" fillId="0" borderId="0" xfId="2" applyNumberFormat="1" applyFont="1" applyAlignment="1">
      <alignment horizontal="left"/>
    </xf>
    <xf numFmtId="39" fontId="25" fillId="0" borderId="0" xfId="0" applyNumberFormat="1" applyFont="1" applyBorder="1" applyAlignment="1" applyProtection="1">
      <alignment horizontal="left"/>
      <protection locked="0"/>
    </xf>
    <xf numFmtId="164" fontId="26" fillId="0" borderId="0" xfId="0" applyFont="1" applyBorder="1" applyAlignment="1" applyProtection="1">
      <alignment horizontal="left"/>
      <protection locked="0"/>
    </xf>
    <xf numFmtId="0" fontId="24" fillId="0" borderId="0" xfId="2" quotePrefix="1" applyNumberFormat="1" applyFont="1" applyFill="1" applyAlignment="1">
      <alignment horizontal="left"/>
    </xf>
    <xf numFmtId="175" fontId="24" fillId="0" borderId="0" xfId="4" quotePrefix="1" applyNumberFormat="1" applyFont="1" applyFill="1" applyAlignment="1">
      <alignment horizontal="left"/>
    </xf>
    <xf numFmtId="175" fontId="24" fillId="0" borderId="0" xfId="4" applyNumberFormat="1" applyFont="1" applyFill="1" applyAlignment="1">
      <alignment horizontal="left"/>
    </xf>
    <xf numFmtId="175" fontId="54" fillId="0" borderId="0" xfId="4" applyNumberFormat="1" applyFont="1" applyFill="1" applyAlignment="1">
      <alignment horizontal="right"/>
    </xf>
    <xf numFmtId="0" fontId="31" fillId="0" borderId="0" xfId="17" applyNumberFormat="1" applyFont="1" applyAlignment="1" applyProtection="1">
      <alignment horizontal="right"/>
      <protection locked="0"/>
    </xf>
    <xf numFmtId="37" fontId="31" fillId="0" borderId="80" xfId="2" applyNumberFormat="1" applyFont="1" applyBorder="1" applyAlignment="1">
      <alignment horizontal="centerContinuous"/>
    </xf>
    <xf numFmtId="37" fontId="31" fillId="0" borderId="28" xfId="2" applyNumberFormat="1" applyFont="1" applyBorder="1" applyAlignment="1">
      <alignment horizontal="center"/>
    </xf>
    <xf numFmtId="37" fontId="29" fillId="0" borderId="28" xfId="2" applyNumberFormat="1" applyFont="1" applyBorder="1" applyAlignment="1"/>
    <xf numFmtId="37" fontId="24" fillId="0" borderId="28" xfId="2" applyNumberFormat="1" applyFont="1" applyBorder="1" applyAlignment="1"/>
    <xf numFmtId="37" fontId="24" fillId="0" borderId="28" xfId="2" applyNumberFormat="1" applyFont="1" applyBorder="1" applyAlignment="1">
      <alignment horizontal="center"/>
    </xf>
    <xf numFmtId="37" fontId="31" fillId="0" borderId="28" xfId="2" applyNumberFormat="1" applyFont="1" applyBorder="1" applyAlignment="1"/>
    <xf numFmtId="37" fontId="31" fillId="0" borderId="81" xfId="2" applyNumberFormat="1" applyFont="1" applyBorder="1" applyAlignment="1"/>
    <xf numFmtId="37" fontId="31" fillId="0" borderId="27" xfId="2" applyNumberFormat="1" applyFont="1" applyBorder="1" applyAlignment="1"/>
    <xf numFmtId="37" fontId="31" fillId="0" borderId="82" xfId="2" applyNumberFormat="1" applyFont="1" applyBorder="1" applyAlignment="1">
      <alignment horizontal="center"/>
    </xf>
    <xf numFmtId="37" fontId="31" fillId="0" borderId="69" xfId="2" applyNumberFormat="1" applyFont="1" applyBorder="1" applyAlignment="1">
      <alignment horizontal="center"/>
    </xf>
    <xf numFmtId="174" fontId="31" fillId="0" borderId="0" xfId="2" applyNumberFormat="1" applyFont="1" applyAlignment="1">
      <alignment horizontal="center"/>
    </xf>
    <xf numFmtId="174" fontId="24" fillId="0" borderId="0" xfId="2" applyNumberFormat="1" applyFont="1" applyAlignment="1">
      <alignment horizontal="center"/>
    </xf>
    <xf numFmtId="174" fontId="24" fillId="0" borderId="28" xfId="2" applyNumberFormat="1" applyFont="1" applyBorder="1" applyAlignment="1">
      <alignment horizontal="right"/>
    </xf>
    <xf numFmtId="174" fontId="24" fillId="0" borderId="47" xfId="2" applyNumberFormat="1" applyFont="1" applyBorder="1" applyAlignment="1">
      <alignment horizontal="center"/>
    </xf>
    <xf numFmtId="174" fontId="24" fillId="0" borderId="21" xfId="2" applyNumberFormat="1" applyFont="1" applyBorder="1" applyAlignment="1"/>
    <xf numFmtId="174" fontId="24" fillId="0" borderId="47" xfId="2" applyNumberFormat="1" applyFont="1" applyBorder="1" applyAlignment="1"/>
    <xf numFmtId="0" fontId="85" fillId="0" borderId="0" xfId="1767" applyFont="1" applyBorder="1"/>
    <xf numFmtId="0" fontId="24" fillId="0" borderId="0" xfId="1767" applyFont="1" applyBorder="1"/>
    <xf numFmtId="0" fontId="1" fillId="0" borderId="0" xfId="841" applyFont="1"/>
    <xf numFmtId="187" fontId="31" fillId="0" borderId="52" xfId="1767" applyNumberFormat="1" applyFont="1" applyBorder="1" applyAlignment="1" applyProtection="1">
      <alignment horizontal="center"/>
      <protection locked="0"/>
    </xf>
    <xf numFmtId="44" fontId="31" fillId="0" borderId="0" xfId="1767" applyNumberFormat="1" applyFont="1" applyFill="1" applyAlignment="1" applyProtection="1">
      <alignment horizontal="right"/>
      <protection locked="0"/>
    </xf>
    <xf numFmtId="43" fontId="24" fillId="0" borderId="0" xfId="1767" applyNumberFormat="1" applyFont="1" applyFill="1" applyAlignment="1" applyProtection="1">
      <alignment horizontal="right"/>
    </xf>
    <xf numFmtId="43" fontId="31" fillId="0" borderId="0" xfId="1767" applyNumberFormat="1" applyFont="1" applyFill="1" applyAlignment="1" applyProtection="1">
      <alignment horizontal="right"/>
    </xf>
    <xf numFmtId="43" fontId="31" fillId="0" borderId="35" xfId="1767" applyNumberFormat="1" applyFont="1" applyFill="1" applyBorder="1" applyAlignment="1" applyProtection="1">
      <alignment horizontal="right"/>
    </xf>
    <xf numFmtId="43" fontId="31" fillId="0" borderId="0" xfId="1767" applyNumberFormat="1" applyFont="1" applyFill="1" applyAlignment="1" applyProtection="1">
      <alignment horizontal="right"/>
      <protection locked="0"/>
    </xf>
    <xf numFmtId="43" fontId="24" fillId="0" borderId="0" xfId="1767" applyNumberFormat="1" applyFont="1" applyFill="1" applyAlignment="1" applyProtection="1"/>
    <xf numFmtId="0" fontId="85" fillId="0" borderId="0" xfId="1767" applyNumberFormat="1" applyFont="1" applyFill="1" applyAlignment="1" applyProtection="1"/>
    <xf numFmtId="4" fontId="31" fillId="0" borderId="0" xfId="1767" applyNumberFormat="1" applyFont="1" applyFill="1" applyAlignment="1" applyProtection="1">
      <alignment horizontal="left"/>
    </xf>
    <xf numFmtId="164" fontId="24" fillId="0" borderId="0" xfId="1767" applyNumberFormat="1" applyFont="1" applyFill="1" applyAlignment="1" applyProtection="1"/>
    <xf numFmtId="164" fontId="85" fillId="0" borderId="0" xfId="1767" applyNumberFormat="1" applyFont="1" applyFill="1" applyAlignment="1" applyProtection="1"/>
    <xf numFmtId="7" fontId="31" fillId="0" borderId="0" xfId="1767" applyNumberFormat="1" applyFont="1" applyFill="1" applyAlignment="1" applyProtection="1">
      <alignment horizontal="right"/>
      <protection locked="0"/>
    </xf>
    <xf numFmtId="0" fontId="1" fillId="0" borderId="0" xfId="841" applyFont="1" applyBorder="1"/>
    <xf numFmtId="4" fontId="29" fillId="0" borderId="0" xfId="1767" applyNumberFormat="1" applyFont="1" applyFill="1" applyAlignment="1">
      <alignment horizontal="right"/>
    </xf>
    <xf numFmtId="4" fontId="29" fillId="0" borderId="0" xfId="1767" applyNumberFormat="1" applyFont="1" applyFill="1" applyBorder="1" applyAlignment="1">
      <alignment horizontal="right"/>
    </xf>
    <xf numFmtId="0" fontId="24" fillId="0" borderId="0" xfId="739" applyNumberFormat="1" applyFont="1" applyAlignment="1"/>
    <xf numFmtId="37" fontId="24" fillId="0" borderId="0" xfId="739" applyNumberFormat="1" applyFont="1" applyAlignment="1"/>
    <xf numFmtId="164" fontId="25" fillId="0" borderId="0" xfId="0" applyFont="1" applyAlignment="1">
      <alignment horizontal="right"/>
    </xf>
    <xf numFmtId="0" fontId="24" fillId="0" borderId="0" xfId="739" applyNumberFormat="1" applyFont="1" applyBorder="1" applyAlignment="1">
      <alignment horizontal="centerContinuous"/>
    </xf>
    <xf numFmtId="175" fontId="24" fillId="0" borderId="0" xfId="739" applyNumberFormat="1" applyFont="1" applyBorder="1" applyAlignment="1" applyProtection="1">
      <protection locked="0"/>
    </xf>
    <xf numFmtId="175" fontId="24" fillId="0" borderId="0" xfId="739" applyNumberFormat="1" applyFont="1" applyAlignment="1"/>
    <xf numFmtId="166" fontId="24" fillId="0" borderId="0" xfId="739" applyNumberFormat="1" applyFont="1" applyBorder="1" applyAlignment="1" applyProtection="1">
      <protection locked="0"/>
    </xf>
    <xf numFmtId="166" fontId="24" fillId="0" borderId="0" xfId="739" applyNumberFormat="1" applyFont="1" applyAlignment="1"/>
    <xf numFmtId="0" fontId="24" fillId="0" borderId="0" xfId="739" applyNumberFormat="1" applyFont="1" applyBorder="1" applyAlignment="1">
      <alignment horizontal="left"/>
    </xf>
    <xf numFmtId="0" fontId="24" fillId="0" borderId="0" xfId="1776" applyFont="1" applyFill="1"/>
    <xf numFmtId="39" fontId="24" fillId="0" borderId="0" xfId="1776" applyNumberFormat="1" applyFont="1" applyFill="1"/>
    <xf numFmtId="39" fontId="24" fillId="0" borderId="0" xfId="1776" applyNumberFormat="1" applyFont="1" applyFill="1" applyBorder="1"/>
    <xf numFmtId="165" fontId="49" fillId="0" borderId="0" xfId="1776" applyNumberFormat="1" applyFont="1" applyFill="1" applyAlignment="1">
      <alignment horizontal="left"/>
    </xf>
    <xf numFmtId="39" fontId="49" fillId="0" borderId="0" xfId="1776" applyNumberFormat="1" applyFont="1" applyFill="1"/>
    <xf numFmtId="0" fontId="49" fillId="0" borderId="0" xfId="1776" applyFont="1" applyFill="1"/>
    <xf numFmtId="0" fontId="54" fillId="0" borderId="0" xfId="1776" applyNumberFormat="1" applyFont="1" applyFill="1" applyAlignment="1">
      <alignment horizontal="left"/>
    </xf>
    <xf numFmtId="0" fontId="24" fillId="0" borderId="0" xfId="1776" applyFont="1" applyFill="1" applyBorder="1" applyAlignment="1">
      <alignment horizontal="left"/>
    </xf>
    <xf numFmtId="39" fontId="49" fillId="0" borderId="0" xfId="1776" applyNumberFormat="1" applyFont="1" applyFill="1" applyBorder="1"/>
    <xf numFmtId="0" fontId="31" fillId="0" borderId="0" xfId="1776" quotePrefix="1" applyNumberFormat="1" applyFont="1" applyFill="1" applyAlignment="1">
      <alignment horizontal="center"/>
    </xf>
    <xf numFmtId="39" fontId="24" fillId="0" borderId="0" xfId="1776" applyNumberFormat="1" applyFont="1" applyFill="1" applyBorder="1" applyAlignment="1">
      <alignment horizontal="center"/>
    </xf>
    <xf numFmtId="165" fontId="31" fillId="0" borderId="0" xfId="1776" applyNumberFormat="1" applyFont="1" applyFill="1" applyAlignment="1"/>
    <xf numFmtId="39" fontId="31" fillId="0" borderId="0" xfId="1776" applyNumberFormat="1" applyFont="1" applyFill="1" applyAlignment="1"/>
    <xf numFmtId="0" fontId="31" fillId="0" borderId="0" xfId="1776" applyNumberFormat="1" applyFont="1" applyFill="1" applyAlignment="1">
      <alignment horizontal="center"/>
    </xf>
    <xf numFmtId="39" fontId="31" fillId="0" borderId="0" xfId="1776" applyNumberFormat="1" applyFont="1" applyFill="1" applyBorder="1" applyAlignment="1"/>
    <xf numFmtId="39" fontId="31" fillId="0" borderId="0" xfId="1776" applyNumberFormat="1" applyFont="1" applyFill="1"/>
    <xf numFmtId="0" fontId="31" fillId="0" borderId="0" xfId="1776" applyFont="1" applyFill="1"/>
    <xf numFmtId="0" fontId="24" fillId="0" borderId="0" xfId="1776" applyNumberFormat="1" applyFont="1" applyFill="1" applyAlignment="1"/>
    <xf numFmtId="39" fontId="24" fillId="0" borderId="0" xfId="1776" applyNumberFormat="1" applyFont="1" applyFill="1" applyAlignment="1"/>
    <xf numFmtId="39" fontId="31" fillId="0" borderId="69" xfId="1776" applyNumberFormat="1" applyFont="1" applyFill="1" applyBorder="1" applyAlignment="1">
      <alignment horizontal="center"/>
    </xf>
    <xf numFmtId="39" fontId="31" fillId="0" borderId="0" xfId="1776" applyNumberFormat="1" applyFont="1" applyFill="1" applyAlignment="1">
      <alignment horizontal="center"/>
    </xf>
    <xf numFmtId="39" fontId="24" fillId="0" borderId="0" xfId="1776" applyNumberFormat="1" applyFont="1" applyFill="1" applyBorder="1" applyAlignment="1"/>
    <xf numFmtId="39" fontId="24" fillId="0" borderId="20" xfId="1776" applyNumberFormat="1" applyFont="1" applyFill="1" applyBorder="1" applyAlignment="1"/>
    <xf numFmtId="0" fontId="31" fillId="0" borderId="0" xfId="1776" applyNumberFormat="1" applyFont="1" applyFill="1" applyAlignment="1"/>
    <xf numFmtId="44" fontId="31" fillId="0" borderId="0" xfId="1776" applyNumberFormat="1" applyFont="1" applyFill="1" applyAlignment="1"/>
    <xf numFmtId="44" fontId="31" fillId="0" borderId="0" xfId="1776" applyNumberFormat="1" applyFont="1" applyFill="1" applyBorder="1" applyAlignment="1"/>
    <xf numFmtId="8" fontId="31" fillId="0" borderId="0" xfId="1776" applyNumberFormat="1" applyFont="1" applyFill="1"/>
    <xf numFmtId="40" fontId="31" fillId="0" borderId="0" xfId="1776" applyNumberFormat="1" applyFont="1" applyFill="1"/>
    <xf numFmtId="0" fontId="24" fillId="0" borderId="0" xfId="1776" applyNumberFormat="1" applyFont="1" applyFill="1" applyAlignment="1">
      <alignment horizontal="left"/>
    </xf>
    <xf numFmtId="43" fontId="24" fillId="0" borderId="0" xfId="1776" applyNumberFormat="1" applyFont="1" applyFill="1" applyAlignment="1"/>
    <xf numFmtId="43" fontId="24" fillId="0" borderId="0" xfId="1776" applyNumberFormat="1" applyFont="1" applyFill="1" applyBorder="1" applyAlignment="1"/>
    <xf numFmtId="43" fontId="31" fillId="0" borderId="70" xfId="1776" applyNumberFormat="1" applyFont="1" applyFill="1" applyBorder="1" applyAlignment="1"/>
    <xf numFmtId="43" fontId="31" fillId="0" borderId="0" xfId="1776" applyNumberFormat="1" applyFont="1" applyFill="1" applyBorder="1" applyAlignment="1"/>
    <xf numFmtId="43" fontId="24" fillId="0" borderId="20" xfId="1776" applyNumberFormat="1" applyFont="1" applyFill="1" applyBorder="1" applyAlignment="1"/>
    <xf numFmtId="0" fontId="31" fillId="0" borderId="0" xfId="1776" applyNumberFormat="1" applyFont="1" applyFill="1" applyAlignment="1">
      <alignment horizontal="left"/>
    </xf>
    <xf numFmtId="43" fontId="31" fillId="0" borderId="20" xfId="1776" applyNumberFormat="1" applyFont="1" applyFill="1" applyBorder="1" applyAlignment="1"/>
    <xf numFmtId="0" fontId="24" fillId="0" borderId="0" xfId="1776" quotePrefix="1" applyNumberFormat="1" applyFont="1" applyFill="1" applyAlignment="1">
      <alignment horizontal="left"/>
    </xf>
    <xf numFmtId="43" fontId="31" fillId="0" borderId="0" xfId="1776" applyNumberFormat="1" applyFont="1" applyFill="1" applyBorder="1" applyAlignment="1">
      <alignment horizontal="right"/>
    </xf>
    <xf numFmtId="0" fontId="24" fillId="0" borderId="0" xfId="1776" applyFont="1" applyFill="1" applyBorder="1"/>
    <xf numFmtId="43" fontId="24" fillId="0" borderId="0" xfId="1776" applyNumberFormat="1" applyFont="1" applyFill="1" applyBorder="1" applyAlignment="1" applyProtection="1"/>
    <xf numFmtId="43" fontId="24" fillId="0" borderId="69" xfId="1776" applyNumberFormat="1" applyFont="1" applyFill="1" applyBorder="1" applyAlignment="1" applyProtection="1"/>
    <xf numFmtId="43" fontId="31" fillId="0" borderId="16" xfId="1776" applyNumberFormat="1" applyFont="1" applyFill="1" applyBorder="1" applyAlignment="1"/>
    <xf numFmtId="39" fontId="31" fillId="0" borderId="0" xfId="1776" applyNumberFormat="1" applyFont="1" applyFill="1" applyBorder="1"/>
    <xf numFmtId="0" fontId="31" fillId="0" borderId="0" xfId="1776" applyFont="1" applyFill="1" applyBorder="1"/>
    <xf numFmtId="43" fontId="24" fillId="0" borderId="0" xfId="1776" applyNumberFormat="1" applyFont="1" applyFill="1" applyBorder="1" applyAlignment="1" applyProtection="1">
      <alignment horizontal="right"/>
    </xf>
    <xf numFmtId="43" fontId="24" fillId="0" borderId="0" xfId="1776" applyNumberFormat="1" applyFont="1" applyFill="1" applyBorder="1" applyAlignment="1">
      <alignment horizontal="right"/>
    </xf>
    <xf numFmtId="43" fontId="24" fillId="0" borderId="69" xfId="1776" applyNumberFormat="1" applyFont="1" applyFill="1" applyBorder="1" applyAlignment="1"/>
    <xf numFmtId="43" fontId="31" fillId="0" borderId="69" xfId="1776" applyNumberFormat="1" applyFont="1" applyFill="1" applyBorder="1" applyAlignment="1">
      <alignment horizontal="right"/>
    </xf>
    <xf numFmtId="39" fontId="24" fillId="0" borderId="46" xfId="1776" applyNumberFormat="1" applyFont="1" applyFill="1" applyBorder="1" applyAlignment="1"/>
    <xf numFmtId="39" fontId="31" fillId="0" borderId="0" xfId="1776" quotePrefix="1" applyNumberFormat="1" applyFont="1" applyFill="1" applyAlignment="1">
      <alignment horizontal="left"/>
    </xf>
    <xf numFmtId="44" fontId="31" fillId="0" borderId="17" xfId="1776" applyNumberFormat="1" applyFont="1" applyFill="1" applyBorder="1" applyAlignment="1">
      <alignment horizontal="right"/>
    </xf>
    <xf numFmtId="44" fontId="31" fillId="0" borderId="0" xfId="1776" applyNumberFormat="1" applyFont="1" applyFill="1" applyBorder="1" applyAlignment="1">
      <alignment horizontal="right"/>
    </xf>
    <xf numFmtId="4" fontId="31" fillId="0" borderId="0" xfId="1776" applyNumberFormat="1" applyFont="1" applyFill="1"/>
    <xf numFmtId="0" fontId="24" fillId="0" borderId="0" xfId="1776" applyNumberFormat="1" applyFont="1" applyFill="1" applyBorder="1" applyAlignment="1">
      <alignment horizontal="left"/>
    </xf>
    <xf numFmtId="0" fontId="24" fillId="0" borderId="0" xfId="1776" quotePrefix="1" applyFont="1" applyFill="1" applyAlignment="1">
      <alignment horizontal="left"/>
    </xf>
    <xf numFmtId="0" fontId="70" fillId="0" borderId="0" xfId="1776" applyFont="1"/>
    <xf numFmtId="39" fontId="31" fillId="0" borderId="0" xfId="1776" applyNumberFormat="1" applyFont="1"/>
    <xf numFmtId="0" fontId="24" fillId="0" borderId="0" xfId="1776" applyFont="1"/>
    <xf numFmtId="39" fontId="24" fillId="0" borderId="0" xfId="1776" applyNumberFormat="1" applyFont="1"/>
    <xf numFmtId="39" fontId="24" fillId="0" borderId="0" xfId="1776" applyNumberFormat="1" applyFont="1" applyBorder="1"/>
    <xf numFmtId="165" fontId="24" fillId="0" borderId="0" xfId="1776" applyNumberFormat="1" applyFont="1" applyProtection="1">
      <protection locked="0"/>
    </xf>
    <xf numFmtId="0" fontId="54" fillId="0" borderId="0" xfId="1776" applyNumberFormat="1" applyFont="1" applyAlignment="1">
      <alignment horizontal="left"/>
    </xf>
    <xf numFmtId="0" fontId="31" fillId="0" borderId="0" xfId="1776" applyNumberFormat="1" applyFont="1" applyAlignment="1">
      <alignment horizontal="left"/>
    </xf>
    <xf numFmtId="39" fontId="78" fillId="0" borderId="0" xfId="1776" applyNumberFormat="1" applyFont="1" applyBorder="1" applyAlignment="1"/>
    <xf numFmtId="39" fontId="78" fillId="0" borderId="0" xfId="1776" applyNumberFormat="1" applyFont="1" applyAlignment="1"/>
    <xf numFmtId="39" fontId="24" fillId="0" borderId="0" xfId="1776" applyNumberFormat="1" applyFont="1" applyBorder="1" applyAlignment="1"/>
    <xf numFmtId="0" fontId="39" fillId="0" borderId="0" xfId="1776" applyNumberFormat="1" applyFont="1" applyAlignment="1">
      <alignment horizontal="left"/>
    </xf>
    <xf numFmtId="165" fontId="76" fillId="0" borderId="0" xfId="1776" applyNumberFormat="1" applyFont="1" applyAlignment="1"/>
    <xf numFmtId="39" fontId="76" fillId="0" borderId="0" xfId="1776" applyNumberFormat="1" applyFont="1" applyAlignment="1"/>
    <xf numFmtId="39" fontId="31" fillId="0" borderId="0" xfId="1776" applyNumberFormat="1" applyFont="1" applyBorder="1" applyAlignment="1">
      <alignment horizontal="center"/>
    </xf>
    <xf numFmtId="165" fontId="31" fillId="0" borderId="0" xfId="1776" applyNumberFormat="1" applyFont="1" applyAlignment="1"/>
    <xf numFmtId="49" fontId="31" fillId="0" borderId="0" xfId="1776" applyNumberFormat="1" applyFont="1" applyAlignment="1">
      <alignment horizontal="center"/>
    </xf>
    <xf numFmtId="39" fontId="31" fillId="0" borderId="0" xfId="1776" applyNumberFormat="1" applyFont="1" applyAlignment="1"/>
    <xf numFmtId="39" fontId="31" fillId="0" borderId="0" xfId="1776" applyNumberFormat="1" applyFont="1" applyBorder="1" applyAlignment="1"/>
    <xf numFmtId="0" fontId="31" fillId="0" borderId="0" xfId="1776" applyFont="1"/>
    <xf numFmtId="0" fontId="24" fillId="0" borderId="0" xfId="1776" applyNumberFormat="1" applyFont="1" applyAlignment="1"/>
    <xf numFmtId="39" fontId="31" fillId="0" borderId="0" xfId="1776" applyNumberFormat="1" applyFont="1" applyAlignment="1">
      <alignment horizontal="center"/>
    </xf>
    <xf numFmtId="39" fontId="24" fillId="0" borderId="0" xfId="1776" applyNumberFormat="1" applyFont="1" applyAlignment="1"/>
    <xf numFmtId="39" fontId="24" fillId="0" borderId="20" xfId="1776" applyNumberFormat="1" applyFont="1" applyBorder="1" applyAlignment="1"/>
    <xf numFmtId="0" fontId="31" fillId="0" borderId="0" xfId="1776" applyNumberFormat="1" applyFont="1" applyAlignment="1"/>
    <xf numFmtId="44" fontId="31" fillId="0" borderId="0" xfId="1776" applyNumberFormat="1" applyFont="1" applyAlignment="1"/>
    <xf numFmtId="44" fontId="31" fillId="0" borderId="21" xfId="1776" applyNumberFormat="1" applyFont="1" applyBorder="1" applyAlignment="1"/>
    <xf numFmtId="39" fontId="24" fillId="0" borderId="21" xfId="1776" applyNumberFormat="1" applyFont="1" applyBorder="1" applyAlignment="1"/>
    <xf numFmtId="43" fontId="24" fillId="0" borderId="0" xfId="1776" applyNumberFormat="1" applyFont="1" applyAlignment="1"/>
    <xf numFmtId="43" fontId="24" fillId="0" borderId="21" xfId="1776" applyNumberFormat="1" applyFont="1" applyBorder="1" applyAlignment="1"/>
    <xf numFmtId="43" fontId="24" fillId="0" borderId="0" xfId="1776" applyNumberFormat="1" applyFont="1" applyBorder="1" applyAlignment="1"/>
    <xf numFmtId="43" fontId="24" fillId="0" borderId="0" xfId="11" applyNumberFormat="1" applyFont="1" applyFill="1" applyAlignment="1"/>
    <xf numFmtId="0" fontId="24" fillId="0" borderId="0" xfId="1776" applyFill="1" applyAlignment="1">
      <alignment wrapText="1"/>
    </xf>
    <xf numFmtId="43" fontId="24" fillId="0" borderId="69" xfId="1776" applyNumberFormat="1" applyFont="1" applyFill="1" applyBorder="1" applyAlignment="1" applyProtection="1">
      <alignment horizontal="right"/>
    </xf>
    <xf numFmtId="43" fontId="24" fillId="0" borderId="18" xfId="1776" applyNumberFormat="1" applyFont="1" applyBorder="1" applyAlignment="1"/>
    <xf numFmtId="43" fontId="31" fillId="0" borderId="69" xfId="1776" applyNumberFormat="1" applyFont="1" applyBorder="1" applyAlignment="1"/>
    <xf numFmtId="43" fontId="31" fillId="0" borderId="0" xfId="1776" applyNumberFormat="1" applyFont="1" applyAlignment="1"/>
    <xf numFmtId="43" fontId="31" fillId="0" borderId="21" xfId="1776" applyNumberFormat="1" applyFont="1" applyBorder="1" applyAlignment="1"/>
    <xf numFmtId="43" fontId="31" fillId="0" borderId="16" xfId="1776" applyNumberFormat="1" applyFont="1" applyBorder="1" applyAlignment="1"/>
    <xf numFmtId="43" fontId="31" fillId="0" borderId="0" xfId="1776" applyNumberFormat="1" applyFont="1" applyBorder="1" applyAlignment="1"/>
    <xf numFmtId="39" fontId="31" fillId="0" borderId="0" xfId="1776" applyNumberFormat="1" applyFont="1" applyBorder="1"/>
    <xf numFmtId="43" fontId="80" fillId="0" borderId="0" xfId="1776" applyNumberFormat="1" applyFont="1" applyAlignment="1"/>
    <xf numFmtId="0" fontId="24" fillId="0" borderId="0" xfId="1776" applyNumberFormat="1" applyFont="1" applyAlignment="1">
      <alignment horizontal="left"/>
    </xf>
    <xf numFmtId="43" fontId="31" fillId="0" borderId="18" xfId="1776" applyNumberFormat="1" applyFont="1" applyBorder="1" applyAlignment="1"/>
    <xf numFmtId="43" fontId="24" fillId="0" borderId="20" xfId="1776" applyNumberFormat="1" applyFont="1" applyBorder="1" applyAlignment="1"/>
    <xf numFmtId="0" fontId="24" fillId="0" borderId="0" xfId="1776" applyFont="1" applyBorder="1"/>
    <xf numFmtId="43" fontId="24" fillId="0" borderId="0" xfId="1776" applyNumberFormat="1" applyFont="1"/>
    <xf numFmtId="0" fontId="31" fillId="0" borderId="0" xfId="1776" applyFont="1" applyBorder="1"/>
    <xf numFmtId="43" fontId="24" fillId="0" borderId="69" xfId="1776" applyNumberFormat="1" applyFont="1" applyBorder="1" applyAlignment="1"/>
    <xf numFmtId="39" fontId="24" fillId="0" borderId="18" xfId="1776" applyNumberFormat="1" applyFont="1" applyBorder="1" applyAlignment="1"/>
    <xf numFmtId="44" fontId="31" fillId="0" borderId="18" xfId="1776" applyNumberFormat="1" applyFont="1" applyBorder="1" applyAlignment="1"/>
    <xf numFmtId="39" fontId="24" fillId="0" borderId="36" xfId="1776" applyNumberFormat="1" applyFont="1" applyBorder="1" applyAlignment="1"/>
    <xf numFmtId="0" fontId="24" fillId="0" borderId="0" xfId="1776" quotePrefix="1" applyFont="1" applyAlignment="1">
      <alignment horizontal="left"/>
    </xf>
    <xf numFmtId="191" fontId="164" fillId="0" borderId="0" xfId="1773" applyNumberFormat="1" applyFont="1" applyFill="1"/>
    <xf numFmtId="191" fontId="29" fillId="0" borderId="0" xfId="1773" applyNumberFormat="1" applyFont="1" applyFill="1"/>
    <xf numFmtId="0" fontId="29" fillId="0" borderId="0" xfId="0" applyNumberFormat="1" applyFont="1" applyBorder="1"/>
    <xf numFmtId="0" fontId="0" fillId="0" borderId="0" xfId="0" applyNumberFormat="1" applyFill="1" applyAlignment="1">
      <alignment horizontal="left" wrapText="1" readingOrder="1"/>
    </xf>
    <xf numFmtId="4" fontId="165" fillId="0" borderId="0" xfId="0" applyNumberFormat="1" applyFont="1" applyFill="1" applyAlignment="1">
      <alignment horizontal="right" wrapText="1" readingOrder="1"/>
    </xf>
    <xf numFmtId="0" fontId="165" fillId="0" borderId="0" xfId="0" applyNumberFormat="1" applyFont="1" applyFill="1" applyAlignment="1">
      <alignment horizontal="right" wrapText="1" readingOrder="1"/>
    </xf>
    <xf numFmtId="0" fontId="0" fillId="0" borderId="0" xfId="0" applyNumberFormat="1" applyFont="1" applyAlignment="1">
      <alignment horizontal="left" vertical="top" wrapText="1" readingOrder="1"/>
    </xf>
    <xf numFmtId="43" fontId="164" fillId="0" borderId="0" xfId="0" applyNumberFormat="1" applyFont="1"/>
    <xf numFmtId="0" fontId="0" fillId="0" borderId="0" xfId="0" applyNumberFormat="1" applyFont="1" applyFill="1" applyAlignment="1">
      <alignment horizontal="left" wrapText="1" readingOrder="1"/>
    </xf>
    <xf numFmtId="0" fontId="164" fillId="0" borderId="0" xfId="0" applyNumberFormat="1" applyFont="1" applyFill="1" applyAlignment="1">
      <alignment horizontal="left" wrapText="1" readingOrder="1"/>
    </xf>
    <xf numFmtId="4" fontId="166" fillId="0" borderId="0" xfId="0" applyNumberFormat="1" applyFont="1" applyFill="1" applyAlignment="1">
      <alignment horizontal="right" wrapText="1" readingOrder="1"/>
    </xf>
    <xf numFmtId="4" fontId="164" fillId="0" borderId="0" xfId="0" applyNumberFormat="1" applyFont="1" applyFill="1" applyAlignment="1"/>
    <xf numFmtId="0" fontId="167" fillId="0" borderId="0" xfId="0" applyNumberFormat="1" applyFont="1" applyFill="1" applyAlignment="1"/>
    <xf numFmtId="4" fontId="164" fillId="0" borderId="0" xfId="0" applyNumberFormat="1" applyFont="1"/>
    <xf numFmtId="165" fontId="27" fillId="0" borderId="0" xfId="840" applyNumberFormat="1" applyFont="1" applyAlignment="1" applyProtection="1">
      <protection locked="0"/>
    </xf>
    <xf numFmtId="40" fontId="24" fillId="0" borderId="0" xfId="840" applyNumberFormat="1" applyFont="1" applyAlignment="1">
      <alignment horizontal="center"/>
    </xf>
    <xf numFmtId="191" fontId="24" fillId="0" borderId="0" xfId="11" applyNumberFormat="1" applyFont="1" applyAlignment="1">
      <alignment horizontal="center"/>
    </xf>
    <xf numFmtId="40" fontId="24" fillId="0" borderId="0" xfId="840" quotePrefix="1" applyNumberFormat="1" applyFont="1" applyAlignment="1">
      <alignment horizontal="center"/>
    </xf>
    <xf numFmtId="165" fontId="24" fillId="0" borderId="0" xfId="840" applyNumberFormat="1" applyFont="1" applyAlignment="1"/>
    <xf numFmtId="39" fontId="24" fillId="0" borderId="20" xfId="840" applyNumberFormat="1" applyFont="1" applyBorder="1" applyAlignment="1"/>
    <xf numFmtId="39" fontId="24" fillId="0" borderId="0" xfId="840" applyNumberFormat="1" applyFont="1" applyBorder="1" applyAlignment="1"/>
    <xf numFmtId="40" fontId="24" fillId="0" borderId="0" xfId="840" applyNumberFormat="1" applyFont="1" applyAlignment="1"/>
    <xf numFmtId="191" fontId="24" fillId="0" borderId="20" xfId="11" applyNumberFormat="1" applyFont="1" applyBorder="1" applyAlignment="1"/>
    <xf numFmtId="42" fontId="24" fillId="0" borderId="0" xfId="840" applyNumberFormat="1" applyFont="1" applyAlignment="1"/>
    <xf numFmtId="0" fontId="24" fillId="0" borderId="0" xfId="840" applyNumberFormat="1" applyFont="1" applyAlignment="1"/>
    <xf numFmtId="37" fontId="24" fillId="0" borderId="0" xfId="840" applyNumberFormat="1" applyFont="1" applyAlignment="1"/>
    <xf numFmtId="37" fontId="24" fillId="0" borderId="0" xfId="840" applyNumberFormat="1" applyFont="1" applyBorder="1" applyAlignment="1"/>
    <xf numFmtId="191" fontId="24" fillId="0" borderId="0" xfId="11" applyNumberFormat="1" applyFont="1" applyAlignment="1"/>
    <xf numFmtId="41" fontId="24" fillId="0" borderId="0" xfId="840" applyNumberFormat="1" applyFont="1" applyAlignment="1"/>
    <xf numFmtId="41" fontId="24" fillId="0" borderId="0" xfId="840" applyNumberFormat="1" applyFont="1" applyBorder="1" applyAlignment="1"/>
    <xf numFmtId="41" fontId="24" fillId="0" borderId="0" xfId="11" applyNumberFormat="1" applyFont="1" applyFill="1" applyAlignment="1"/>
    <xf numFmtId="41" fontId="24" fillId="0" borderId="0" xfId="840" quotePrefix="1" applyNumberFormat="1" applyFont="1" applyAlignment="1">
      <alignment horizontal="center"/>
    </xf>
    <xf numFmtId="41" fontId="24" fillId="0" borderId="0" xfId="840" quotePrefix="1" applyNumberFormat="1" applyFont="1" applyBorder="1" applyAlignment="1">
      <alignment horizontal="center"/>
    </xf>
    <xf numFmtId="41" fontId="24" fillId="0" borderId="0" xfId="840" applyNumberFormat="1" applyFont="1" applyAlignment="1">
      <alignment horizontal="center"/>
    </xf>
    <xf numFmtId="41" fontId="24" fillId="0" borderId="0" xfId="840" quotePrefix="1" applyNumberFormat="1" applyFont="1" applyAlignment="1"/>
    <xf numFmtId="41" fontId="24" fillId="0" borderId="0" xfId="840" applyNumberFormat="1" applyFont="1" applyAlignment="1">
      <alignment horizontal="right"/>
    </xf>
    <xf numFmtId="41" fontId="24" fillId="0" borderId="0" xfId="840" quotePrefix="1" applyNumberFormat="1" applyFont="1" applyAlignment="1">
      <alignment horizontal="right"/>
    </xf>
    <xf numFmtId="41" fontId="24" fillId="0" borderId="0" xfId="840" applyNumberFormat="1" applyFont="1" applyBorder="1" applyAlignment="1">
      <alignment horizontal="right"/>
    </xf>
    <xf numFmtId="41" fontId="24" fillId="0" borderId="0" xfId="11" applyNumberFormat="1" applyFont="1" applyAlignment="1"/>
    <xf numFmtId="41" fontId="24" fillId="0" borderId="0" xfId="840" applyNumberFormat="1" applyFont="1" applyFill="1" applyAlignment="1"/>
    <xf numFmtId="41" fontId="24" fillId="0" borderId="0" xfId="840" applyNumberFormat="1" applyFont="1" applyFill="1" applyBorder="1" applyAlignment="1"/>
    <xf numFmtId="37" fontId="24" fillId="0" borderId="0" xfId="840" applyNumberFormat="1" applyFont="1" applyFill="1" applyAlignment="1"/>
    <xf numFmtId="41" fontId="24" fillId="0" borderId="0" xfId="840" applyNumberFormat="1" applyFont="1" applyFill="1" applyAlignment="1">
      <alignment horizontal="right"/>
    </xf>
    <xf numFmtId="41" fontId="24" fillId="0" borderId="0" xfId="840" applyNumberFormat="1" applyFont="1" applyFill="1"/>
    <xf numFmtId="41" fontId="24" fillId="0" borderId="0" xfId="840" quotePrefix="1" applyNumberFormat="1" applyFont="1" applyFill="1" applyAlignment="1">
      <alignment horizontal="right"/>
    </xf>
    <xf numFmtId="41" fontId="24" fillId="0" borderId="0" xfId="840" quotePrefix="1" applyNumberFormat="1" applyFont="1" applyFill="1" applyAlignment="1">
      <alignment horizontal="center"/>
    </xf>
    <xf numFmtId="41" fontId="24" fillId="0" borderId="0" xfId="840" quotePrefix="1" applyNumberFormat="1" applyFont="1" applyFill="1" applyAlignment="1"/>
    <xf numFmtId="41" fontId="24" fillId="0" borderId="0" xfId="840" quotePrefix="1" applyNumberFormat="1" applyFont="1" applyFill="1" applyBorder="1" applyAlignment="1">
      <alignment horizontal="center"/>
    </xf>
    <xf numFmtId="41" fontId="24" fillId="0" borderId="19" xfId="840" quotePrefix="1" applyNumberFormat="1" applyFont="1" applyBorder="1" applyAlignment="1">
      <alignment horizontal="center"/>
    </xf>
    <xf numFmtId="41" fontId="24" fillId="0" borderId="19" xfId="840" quotePrefix="1" applyNumberFormat="1" applyFont="1" applyBorder="1" applyAlignment="1">
      <alignment horizontal="right"/>
    </xf>
    <xf numFmtId="41" fontId="24" fillId="0" borderId="19" xfId="840" applyNumberFormat="1" applyFont="1" applyBorder="1"/>
    <xf numFmtId="41" fontId="24" fillId="0" borderId="0" xfId="840" quotePrefix="1" applyNumberFormat="1" applyFont="1" applyBorder="1" applyAlignment="1">
      <alignment horizontal="right"/>
    </xf>
    <xf numFmtId="41" fontId="24" fillId="0" borderId="19" xfId="11" applyNumberFormat="1" applyFont="1" applyBorder="1" applyAlignment="1"/>
    <xf numFmtId="41" fontId="31" fillId="0" borderId="69" xfId="840" applyNumberFormat="1" applyFont="1" applyBorder="1" applyAlignment="1"/>
    <xf numFmtId="37" fontId="24" fillId="0" borderId="19" xfId="840" applyNumberFormat="1" applyFont="1" applyBorder="1" applyAlignment="1"/>
    <xf numFmtId="191" fontId="24" fillId="0" borderId="0" xfId="11" applyNumberFormat="1" applyFont="1" applyBorder="1" applyAlignment="1"/>
    <xf numFmtId="40" fontId="24" fillId="0" borderId="0" xfId="840" applyNumberFormat="1" applyFont="1" applyBorder="1" applyAlignment="1"/>
    <xf numFmtId="39" fontId="24" fillId="0" borderId="0" xfId="840" applyNumberFormat="1" applyFont="1" applyAlignment="1"/>
    <xf numFmtId="0" fontId="24" fillId="0" borderId="0" xfId="17" applyNumberFormat="1" applyFont="1" applyAlignment="1" applyProtection="1">
      <protection locked="0"/>
    </xf>
    <xf numFmtId="174" fontId="24" fillId="0" borderId="0" xfId="17" applyNumberFormat="1" applyFont="1" applyAlignment="1"/>
    <xf numFmtId="174" fontId="24" fillId="0" borderId="0" xfId="17" applyNumberFormat="1" applyFont="1" applyAlignment="1">
      <alignment horizontal="right"/>
    </xf>
    <xf numFmtId="174" fontId="24" fillId="0" borderId="0" xfId="17" applyNumberFormat="1" applyFont="1" applyFill="1" applyAlignment="1"/>
    <xf numFmtId="181" fontId="24" fillId="0" borderId="0" xfId="17" applyNumberFormat="1" applyFont="1" applyAlignment="1"/>
    <xf numFmtId="181" fontId="24" fillId="0" borderId="0" xfId="17" applyNumberFormat="1" applyFont="1" applyAlignment="1">
      <alignment horizontal="right"/>
    </xf>
    <xf numFmtId="181" fontId="24" fillId="0" borderId="0" xfId="17" applyNumberFormat="1" applyFont="1" applyFill="1" applyAlignment="1"/>
    <xf numFmtId="0" fontId="24" fillId="0" borderId="0" xfId="17" applyNumberFormat="1" applyFont="1" applyBorder="1" applyAlignment="1" applyProtection="1">
      <protection locked="0"/>
    </xf>
    <xf numFmtId="0" fontId="24" fillId="0" borderId="0" xfId="17" applyNumberFormat="1" applyFont="1" applyBorder="1" applyAlignment="1"/>
    <xf numFmtId="0" fontId="24" fillId="0" borderId="69" xfId="17" applyNumberFormat="1" applyFont="1" applyBorder="1" applyAlignment="1">
      <alignment horizontal="center"/>
    </xf>
    <xf numFmtId="170" fontId="24" fillId="0" borderId="0" xfId="17" applyNumberFormat="1" applyFont="1" applyBorder="1" applyAlignment="1"/>
    <xf numFmtId="174" fontId="24" fillId="0" borderId="0" xfId="1049" applyNumberFormat="1" applyFont="1" applyBorder="1" applyAlignment="1">
      <alignment horizontal="center"/>
    </xf>
    <xf numFmtId="170" fontId="24" fillId="0" borderId="0" xfId="17" applyNumberFormat="1" applyFont="1" applyBorder="1" applyAlignment="1" applyProtection="1">
      <protection locked="0"/>
    </xf>
    <xf numFmtId="170" fontId="24" fillId="0" borderId="0" xfId="17" applyNumberFormat="1" applyFont="1" applyBorder="1" applyAlignment="1">
      <alignment horizontal="right"/>
    </xf>
    <xf numFmtId="170" fontId="24" fillId="0" borderId="0" xfId="17" applyNumberFormat="1" applyFont="1" applyBorder="1" applyAlignment="1" applyProtection="1">
      <alignment horizontal="right"/>
      <protection locked="0"/>
    </xf>
    <xf numFmtId="170" fontId="24" fillId="0" borderId="0" xfId="17" applyNumberFormat="1" applyFont="1" applyBorder="1" applyAlignment="1" applyProtection="1">
      <alignment horizontal="right"/>
    </xf>
    <xf numFmtId="188" fontId="24" fillId="0" borderId="0" xfId="17" applyNumberFormat="1" applyFont="1" applyAlignment="1"/>
    <xf numFmtId="0" fontId="29" fillId="0" borderId="0" xfId="1045" applyFont="1" applyFill="1" applyBorder="1"/>
    <xf numFmtId="0" fontId="31" fillId="0" borderId="0" xfId="1045" applyFont="1" applyFill="1" applyBorder="1"/>
    <xf numFmtId="0" fontId="30" fillId="0" borderId="0" xfId="1045" applyFont="1" applyFill="1" applyBorder="1"/>
    <xf numFmtId="0" fontId="152" fillId="0" borderId="16" xfId="0" applyNumberFormat="1" applyFont="1" applyFill="1" applyBorder="1" applyAlignment="1">
      <alignment horizontal="center"/>
    </xf>
    <xf numFmtId="0" fontId="29" fillId="0" borderId="0" xfId="1045" applyFont="1" applyFill="1" applyBorder="1" applyAlignment="1">
      <alignment horizontal="center"/>
    </xf>
    <xf numFmtId="191" fontId="0" fillId="0" borderId="0" xfId="0" applyNumberFormat="1"/>
    <xf numFmtId="37" fontId="29" fillId="0" borderId="0" xfId="1045" applyNumberFormat="1" applyFont="1" applyFill="1" applyBorder="1"/>
    <xf numFmtId="164" fontId="0" fillId="0" borderId="0" xfId="0" applyNumberFormat="1"/>
    <xf numFmtId="0" fontId="24" fillId="0" borderId="0" xfId="1045" applyNumberFormat="1" applyFont="1" applyFill="1" applyBorder="1" applyAlignment="1"/>
    <xf numFmtId="0" fontId="0" fillId="0" borderId="0" xfId="0" applyNumberFormat="1" applyAlignment="1"/>
    <xf numFmtId="0" fontId="24" fillId="0" borderId="0" xfId="1045" applyFont="1" applyFill="1" applyBorder="1" applyAlignment="1"/>
    <xf numFmtId="192" fontId="36" fillId="0" borderId="0" xfId="8" applyNumberFormat="1" applyFont="1" applyAlignment="1">
      <alignment horizontal="right" vertical="top"/>
    </xf>
    <xf numFmtId="0" fontId="36" fillId="0" borderId="0" xfId="1798" applyFont="1" applyAlignment="1">
      <alignment horizontal="left"/>
    </xf>
    <xf numFmtId="0" fontId="85" fillId="0" borderId="0" xfId="1798" applyFont="1"/>
    <xf numFmtId="0" fontId="36" fillId="0" borderId="0" xfId="1798" applyFont="1"/>
    <xf numFmtId="189" fontId="36" fillId="0" borderId="0" xfId="1798" applyNumberFormat="1" applyFont="1" applyBorder="1" applyAlignment="1"/>
    <xf numFmtId="189" fontId="36" fillId="0" borderId="0" xfId="1798" quotePrefix="1" applyNumberFormat="1" applyFont="1" applyAlignment="1">
      <alignment horizontal="right"/>
    </xf>
    <xf numFmtId="3" fontId="36" fillId="0" borderId="0" xfId="1798" quotePrefix="1" applyNumberFormat="1" applyFont="1" applyAlignment="1"/>
    <xf numFmtId="3" fontId="36" fillId="0" borderId="0" xfId="1798" quotePrefix="1" applyNumberFormat="1" applyFont="1" applyAlignment="1">
      <alignment horizontal="right"/>
    </xf>
    <xf numFmtId="3" fontId="36" fillId="0" borderId="0" xfId="1798" quotePrefix="1" applyNumberFormat="1" applyFont="1" applyAlignment="1">
      <alignment horizontal="center"/>
    </xf>
    <xf numFmtId="3" fontId="36" fillId="0" borderId="0" xfId="1798" quotePrefix="1" applyNumberFormat="1" applyFont="1" applyBorder="1" applyAlignment="1"/>
    <xf numFmtId="0" fontId="85" fillId="0" borderId="0" xfId="1798" applyFont="1" applyBorder="1"/>
    <xf numFmtId="3" fontId="36" fillId="0" borderId="0" xfId="1798" quotePrefix="1" applyNumberFormat="1" applyFont="1" applyBorder="1" applyAlignment="1">
      <alignment horizontal="center"/>
    </xf>
    <xf numFmtId="189" fontId="36" fillId="0" borderId="0" xfId="1798" applyNumberFormat="1" applyFont="1" applyBorder="1"/>
    <xf numFmtId="164" fontId="24" fillId="0" borderId="69" xfId="0" applyNumberFormat="1" applyFont="1" applyBorder="1" applyAlignment="1" applyProtection="1">
      <protection locked="0"/>
    </xf>
    <xf numFmtId="0" fontId="0" fillId="0" borderId="0" xfId="2" applyFont="1" applyBorder="1" applyAlignment="1">
      <alignment horizontal="right"/>
    </xf>
    <xf numFmtId="0" fontId="31" fillId="0" borderId="0" xfId="2" applyNumberFormat="1" applyFont="1" applyAlignment="1">
      <alignment horizontal="left"/>
    </xf>
    <xf numFmtId="0" fontId="54" fillId="0" borderId="0" xfId="1776" applyNumberFormat="1" applyFont="1" applyAlignment="1">
      <alignment horizontal="left"/>
    </xf>
    <xf numFmtId="170" fontId="26" fillId="0" borderId="69" xfId="2" quotePrefix="1" applyNumberFormat="1" applyFont="1" applyFill="1" applyBorder="1" applyAlignment="1">
      <alignment horizontal="center"/>
    </xf>
    <xf numFmtId="170" fontId="26" fillId="0" borderId="69" xfId="2" applyNumberFormat="1" applyFont="1" applyFill="1" applyBorder="1" applyAlignment="1"/>
    <xf numFmtId="174" fontId="29" fillId="0" borderId="0" xfId="4" applyNumberFormat="1" applyFont="1" applyFill="1"/>
    <xf numFmtId="0" fontId="104" fillId="0" borderId="0" xfId="1798" applyFont="1" applyAlignment="1">
      <alignment horizontal="center"/>
    </xf>
    <xf numFmtId="0" fontId="104" fillId="0" borderId="0" xfId="1798" applyFont="1" applyAlignment="1">
      <alignment horizontal="right"/>
    </xf>
    <xf numFmtId="170" fontId="24" fillId="0" borderId="0" xfId="2" quotePrefix="1" applyNumberFormat="1" applyFont="1" applyBorder="1" applyAlignment="1" applyProtection="1">
      <alignment horizontal="center"/>
      <protection locked="0"/>
    </xf>
    <xf numFmtId="170" fontId="35" fillId="0" borderId="0" xfId="0" quotePrefix="1" applyNumberFormat="1" applyFont="1" applyBorder="1" applyAlignment="1" applyProtection="1">
      <alignment horizontal="right"/>
      <protection locked="0"/>
    </xf>
    <xf numFmtId="170" fontId="35" fillId="0" borderId="0" xfId="0" quotePrefix="1" applyNumberFormat="1" applyFont="1" applyAlignment="1" applyProtection="1">
      <alignment horizontal="right"/>
      <protection locked="0"/>
    </xf>
    <xf numFmtId="170" fontId="35" fillId="0" borderId="0" xfId="0" quotePrefix="1" applyNumberFormat="1" applyFont="1" applyBorder="1" applyAlignment="1" applyProtection="1">
      <alignment horizontal="center"/>
      <protection locked="0"/>
    </xf>
    <xf numFmtId="170" fontId="35" fillId="0" borderId="0" xfId="0" quotePrefix="1" applyNumberFormat="1" applyFont="1" applyAlignment="1" applyProtection="1">
      <alignment horizontal="center"/>
      <protection locked="0"/>
    </xf>
    <xf numFmtId="170" fontId="35" fillId="0" borderId="0" xfId="0" quotePrefix="1" applyNumberFormat="1" applyFont="1" applyBorder="1" applyAlignment="1" applyProtection="1">
      <protection locked="0"/>
    </xf>
    <xf numFmtId="166" fontId="24" fillId="0" borderId="0" xfId="2" applyNumberFormat="1" applyFont="1" applyAlignment="1">
      <alignment horizontal="right"/>
    </xf>
    <xf numFmtId="170" fontId="35" fillId="0" borderId="0" xfId="0" applyNumberFormat="1" applyFont="1" applyAlignment="1" applyProtection="1">
      <alignment horizontal="right"/>
      <protection locked="0"/>
    </xf>
    <xf numFmtId="172" fontId="170" fillId="0" borderId="69" xfId="1940" applyNumberFormat="1" applyFont="1" applyBorder="1" applyAlignment="1"/>
    <xf numFmtId="165" fontId="51" fillId="0" borderId="0" xfId="2" applyNumberFormat="1" applyFont="1" applyAlignment="1">
      <alignment horizontal="center"/>
    </xf>
    <xf numFmtId="196" fontId="24" fillId="0" borderId="0" xfId="2" applyNumberFormat="1" applyFont="1" applyFill="1" applyAlignment="1" applyProtection="1">
      <protection locked="0"/>
    </xf>
    <xf numFmtId="39" fontId="54" fillId="0" borderId="0" xfId="1776" applyNumberFormat="1" applyFont="1" applyBorder="1" applyAlignment="1">
      <alignment horizontal="right" vertical="top"/>
    </xf>
    <xf numFmtId="0" fontId="54" fillId="0" borderId="0" xfId="1776" applyNumberFormat="1" applyFont="1" applyBorder="1" applyAlignment="1">
      <alignment horizontal="left"/>
    </xf>
    <xf numFmtId="0" fontId="31" fillId="0" borderId="0" xfId="1776" applyNumberFormat="1" applyFont="1" applyBorder="1" applyAlignment="1">
      <alignment horizontal="left" vertical="top"/>
    </xf>
    <xf numFmtId="0" fontId="54" fillId="0" borderId="0" xfId="1776" applyFont="1" applyAlignment="1">
      <alignment horizontal="left" vertical="top"/>
    </xf>
    <xf numFmtId="0" fontId="54" fillId="0" borderId="0" xfId="1776" applyNumberFormat="1" applyFont="1" applyBorder="1" applyAlignment="1">
      <alignment horizontal="center"/>
    </xf>
    <xf numFmtId="39" fontId="27" fillId="0" borderId="0" xfId="1776" applyNumberFormat="1" applyFont="1" applyBorder="1" applyAlignment="1">
      <alignment horizontal="centerContinuous"/>
    </xf>
    <xf numFmtId="44" fontId="31" fillId="0" borderId="0" xfId="1776" applyNumberFormat="1" applyFont="1" applyBorder="1" applyAlignment="1"/>
    <xf numFmtId="43" fontId="24" fillId="0" borderId="69" xfId="1776" applyNumberFormat="1" applyFont="1" applyBorder="1" applyAlignment="1">
      <alignment horizontal="right"/>
    </xf>
    <xf numFmtId="43" fontId="80" fillId="0" borderId="0" xfId="1776" applyNumberFormat="1" applyFont="1" applyBorder="1" applyAlignment="1"/>
    <xf numFmtId="43" fontId="24" fillId="0" borderId="0" xfId="0" applyNumberFormat="1" applyFont="1"/>
    <xf numFmtId="43" fontId="24" fillId="0" borderId="0" xfId="1776" applyNumberFormat="1" applyFont="1" applyBorder="1" applyAlignment="1">
      <alignment horizontal="right"/>
    </xf>
    <xf numFmtId="39" fontId="54" fillId="0" borderId="0" xfId="1776" applyNumberFormat="1" applyFont="1" applyFill="1" applyBorder="1" applyAlignment="1">
      <alignment horizontal="right" vertical="top"/>
    </xf>
    <xf numFmtId="39" fontId="31" fillId="0" borderId="0" xfId="1776" applyNumberFormat="1" applyFont="1" applyFill="1" applyBorder="1" applyAlignment="1">
      <alignment horizontal="right" vertical="top"/>
    </xf>
    <xf numFmtId="0" fontId="49" fillId="0" borderId="0" xfId="1776" applyNumberFormat="1" applyFont="1" applyFill="1" applyAlignment="1">
      <alignment horizontal="left"/>
    </xf>
    <xf numFmtId="0" fontId="49" fillId="0" borderId="0" xfId="1776" applyNumberFormat="1" applyFont="1" applyFill="1" applyBorder="1" applyAlignment="1">
      <alignment horizontal="left"/>
    </xf>
    <xf numFmtId="0" fontId="24" fillId="0" borderId="0" xfId="1776" applyNumberFormat="1" applyFont="1" applyFill="1" applyBorder="1" applyAlignment="1">
      <alignment horizontal="center"/>
    </xf>
    <xf numFmtId="44" fontId="31" fillId="0" borderId="18" xfId="1776" applyNumberFormat="1" applyFont="1" applyFill="1" applyBorder="1" applyAlignment="1"/>
    <xf numFmtId="39" fontId="24" fillId="0" borderId="18" xfId="1776" applyNumberFormat="1" applyFont="1" applyFill="1" applyBorder="1" applyAlignment="1"/>
    <xf numFmtId="43" fontId="24" fillId="0" borderId="18" xfId="1776" applyNumberFormat="1" applyFont="1" applyFill="1" applyBorder="1" applyAlignment="1"/>
    <xf numFmtId="43" fontId="31" fillId="0" borderId="18" xfId="1776" applyNumberFormat="1" applyFont="1" applyFill="1" applyBorder="1" applyAlignment="1"/>
    <xf numFmtId="43" fontId="31" fillId="0" borderId="18" xfId="1776" applyNumberFormat="1" applyFont="1" applyFill="1" applyBorder="1" applyAlignment="1">
      <alignment horizontal="right"/>
    </xf>
    <xf numFmtId="44" fontId="31" fillId="0" borderId="18" xfId="1776" applyNumberFormat="1" applyFont="1" applyFill="1" applyBorder="1" applyAlignment="1">
      <alignment horizontal="right"/>
    </xf>
    <xf numFmtId="0" fontId="72" fillId="0" borderId="0" xfId="841" applyFont="1" applyAlignment="1">
      <alignment horizontal="right"/>
    </xf>
    <xf numFmtId="39" fontId="30" fillId="0" borderId="0" xfId="1028" applyNumberFormat="1" applyFont="1" applyAlignment="1"/>
    <xf numFmtId="170" fontId="36" fillId="0" borderId="0" xfId="2" applyNumberFormat="1" applyFont="1" applyAlignment="1"/>
    <xf numFmtId="165" fontId="29" fillId="0" borderId="0" xfId="0" applyNumberFormat="1" applyFont="1" applyAlignment="1">
      <alignment horizontal="left"/>
    </xf>
    <xf numFmtId="165" fontId="29" fillId="0" borderId="0" xfId="0" applyNumberFormat="1" applyFont="1" applyAlignment="1">
      <alignment horizontal="centerContinuous"/>
    </xf>
    <xf numFmtId="0" fontId="53" fillId="0" borderId="0" xfId="0" applyNumberFormat="1" applyFont="1" applyAlignment="1"/>
    <xf numFmtId="165" fontId="54" fillId="0" borderId="0" xfId="0" quotePrefix="1" applyNumberFormat="1" applyFont="1" applyAlignment="1">
      <alignment horizontal="left"/>
    </xf>
    <xf numFmtId="165" fontId="24" fillId="0" borderId="0" xfId="0" applyNumberFormat="1" applyFont="1" applyAlignment="1">
      <alignment horizontal="centerContinuous"/>
    </xf>
    <xf numFmtId="165" fontId="31" fillId="0" borderId="0" xfId="0" applyNumberFormat="1" applyFont="1" applyAlignment="1">
      <alignment horizontal="centerContinuous"/>
    </xf>
    <xf numFmtId="165" fontId="51" fillId="0" borderId="0" xfId="0" applyNumberFormat="1" applyFont="1" applyAlignment="1"/>
    <xf numFmtId="165" fontId="53" fillId="0" borderId="0" xfId="0" applyNumberFormat="1" applyFont="1" applyAlignment="1"/>
    <xf numFmtId="165" fontId="54" fillId="0" borderId="0" xfId="0" applyNumberFormat="1" applyFont="1" applyAlignment="1">
      <alignment horizontal="left"/>
    </xf>
    <xf numFmtId="165" fontId="31" fillId="0" borderId="0" xfId="0" applyNumberFormat="1" applyFont="1" applyAlignment="1">
      <alignment horizontal="right"/>
    </xf>
    <xf numFmtId="165" fontId="54" fillId="0" borderId="0" xfId="0" quotePrefix="1" applyNumberFormat="1" applyFont="1" applyAlignment="1">
      <alignment horizontal="right"/>
    </xf>
    <xf numFmtId="165" fontId="31" fillId="0" borderId="0" xfId="0" applyNumberFormat="1" applyFont="1" applyBorder="1" applyAlignment="1">
      <alignment horizontal="centerContinuous"/>
    </xf>
    <xf numFmtId="165" fontId="51" fillId="0" borderId="0" xfId="0" applyNumberFormat="1" applyFont="1" applyAlignment="1">
      <alignment horizontal="centerContinuous"/>
    </xf>
    <xf numFmtId="165" fontId="31" fillId="0" borderId="0" xfId="0" quotePrefix="1" applyNumberFormat="1" applyFont="1" applyAlignment="1">
      <alignment horizontal="centerContinuous"/>
    </xf>
    <xf numFmtId="165" fontId="31" fillId="0" borderId="69" xfId="0" applyNumberFormat="1" applyFont="1" applyBorder="1" applyAlignment="1">
      <alignment horizontal="centerContinuous"/>
    </xf>
    <xf numFmtId="165" fontId="24" fillId="0" borderId="69" xfId="0" applyNumberFormat="1" applyFont="1" applyBorder="1" applyAlignment="1">
      <alignment horizontal="centerContinuous"/>
    </xf>
    <xf numFmtId="165" fontId="31" fillId="0" borderId="69" xfId="0" quotePrefix="1" applyNumberFormat="1" applyFont="1" applyBorder="1" applyAlignment="1"/>
    <xf numFmtId="165" fontId="24" fillId="0" borderId="69" xfId="0" applyNumberFormat="1" applyFont="1" applyBorder="1" applyAlignment="1"/>
    <xf numFmtId="165" fontId="31" fillId="0" borderId="20" xfId="0" applyNumberFormat="1" applyFont="1" applyBorder="1" applyAlignment="1">
      <alignment horizontal="center"/>
    </xf>
    <xf numFmtId="165" fontId="31" fillId="0" borderId="20" xfId="0" quotePrefix="1" applyNumberFormat="1" applyFont="1" applyBorder="1" applyAlignment="1" applyProtection="1">
      <alignment horizontal="center"/>
      <protection locked="0"/>
    </xf>
    <xf numFmtId="0" fontId="31" fillId="0" borderId="20" xfId="0" applyNumberFormat="1" applyFont="1" applyBorder="1" applyAlignment="1" applyProtection="1">
      <alignment horizontal="center"/>
      <protection locked="0"/>
    </xf>
    <xf numFmtId="165" fontId="31" fillId="0" borderId="20" xfId="0" applyNumberFormat="1" applyFont="1" applyBorder="1" applyAlignment="1" applyProtection="1">
      <alignment horizontal="center"/>
    </xf>
    <xf numFmtId="0" fontId="31" fillId="0" borderId="20" xfId="0" applyNumberFormat="1" applyFont="1" applyBorder="1" applyAlignment="1" applyProtection="1">
      <alignment horizontal="center"/>
    </xf>
    <xf numFmtId="165" fontId="31" fillId="0" borderId="0" xfId="0" applyNumberFormat="1" applyFont="1" applyBorder="1" applyAlignment="1">
      <alignment horizontal="center"/>
    </xf>
    <xf numFmtId="165" fontId="31" fillId="0" borderId="0" xfId="0" applyNumberFormat="1" applyFont="1" applyBorder="1" applyAlignment="1" applyProtection="1">
      <alignment horizontal="center"/>
    </xf>
    <xf numFmtId="165" fontId="31" fillId="0" borderId="19" xfId="0" applyNumberFormat="1" applyFont="1" applyBorder="1" applyAlignment="1">
      <alignment horizontal="center"/>
    </xf>
    <xf numFmtId="165" fontId="31" fillId="0" borderId="20" xfId="0" quotePrefix="1" applyNumberFormat="1" applyFont="1" applyBorder="1" applyAlignment="1">
      <alignment horizontal="center"/>
    </xf>
    <xf numFmtId="0" fontId="31" fillId="0" borderId="20" xfId="0" applyNumberFormat="1" applyFont="1" applyBorder="1" applyAlignment="1">
      <alignment horizontal="center"/>
    </xf>
    <xf numFmtId="165" fontId="51" fillId="0" borderId="0" xfId="0" quotePrefix="1" applyNumberFormat="1" applyFont="1" applyBorder="1" applyAlignment="1">
      <alignment horizontal="center"/>
    </xf>
    <xf numFmtId="0" fontId="31" fillId="0" borderId="69" xfId="0" quotePrefix="1" applyNumberFormat="1" applyFont="1" applyBorder="1" applyAlignment="1" applyProtection="1">
      <alignment horizontal="center"/>
      <protection locked="0"/>
    </xf>
    <xf numFmtId="0" fontId="31" fillId="0" borderId="0" xfId="0" quotePrefix="1" applyNumberFormat="1" applyFont="1" applyBorder="1" applyAlignment="1" applyProtection="1">
      <alignment horizontal="center"/>
      <protection locked="0"/>
    </xf>
    <xf numFmtId="0" fontId="31" fillId="0" borderId="69" xfId="0" quotePrefix="1" applyNumberFormat="1" applyFont="1" applyBorder="1" applyAlignment="1" applyProtection="1">
      <alignment horizontal="center"/>
    </xf>
    <xf numFmtId="0" fontId="31" fillId="0" borderId="0" xfId="0" applyNumberFormat="1" applyFont="1" applyAlignment="1" applyProtection="1">
      <alignment horizontal="center"/>
    </xf>
    <xf numFmtId="0" fontId="31" fillId="0" borderId="0" xfId="0" applyNumberFormat="1" applyFont="1" applyBorder="1" applyAlignment="1" applyProtection="1">
      <alignment horizontal="center"/>
    </xf>
    <xf numFmtId="165" fontId="31" fillId="0" borderId="0" xfId="0" applyNumberFormat="1" applyFont="1" applyAlignment="1">
      <alignment horizontal="center"/>
    </xf>
    <xf numFmtId="0" fontId="31" fillId="0" borderId="0" xfId="0" quotePrefix="1" applyNumberFormat="1" applyFont="1" applyAlignment="1" applyProtection="1">
      <alignment horizontal="center"/>
      <protection locked="0"/>
    </xf>
    <xf numFmtId="0" fontId="31" fillId="0" borderId="0" xfId="0" quotePrefix="1" applyNumberFormat="1" applyFont="1" applyBorder="1" applyAlignment="1" applyProtection="1">
      <alignment horizontal="center"/>
    </xf>
    <xf numFmtId="165" fontId="51" fillId="0" borderId="0" xfId="0" applyNumberFormat="1" applyFont="1" applyBorder="1" applyAlignment="1"/>
    <xf numFmtId="165" fontId="24" fillId="0" borderId="21" xfId="0" applyNumberFormat="1" applyFont="1" applyBorder="1" applyAlignment="1"/>
    <xf numFmtId="165" fontId="24" fillId="0" borderId="20" xfId="0" applyNumberFormat="1" applyFont="1" applyBorder="1" applyAlignment="1"/>
    <xf numFmtId="165" fontId="24" fillId="0" borderId="14" xfId="0" applyNumberFormat="1" applyFont="1" applyBorder="1" applyAlignment="1"/>
    <xf numFmtId="165" fontId="24" fillId="34" borderId="0" xfId="0" applyNumberFormat="1" applyFont="1" applyFill="1" applyAlignment="1"/>
    <xf numFmtId="165" fontId="53" fillId="0" borderId="0" xfId="0" applyNumberFormat="1" applyFont="1" applyBorder="1" applyAlignment="1"/>
    <xf numFmtId="0" fontId="31" fillId="0" borderId="0" xfId="0" applyNumberFormat="1" applyFont="1" applyAlignment="1"/>
    <xf numFmtId="0" fontId="24" fillId="0" borderId="0" xfId="0" applyNumberFormat="1" applyFont="1" applyAlignment="1"/>
    <xf numFmtId="174" fontId="24" fillId="0" borderId="0" xfId="0" applyNumberFormat="1" applyFont="1" applyAlignment="1" applyProtection="1"/>
    <xf numFmtId="174" fontId="24" fillId="0" borderId="0" xfId="0" quotePrefix="1" applyNumberFormat="1" applyFont="1" applyBorder="1" applyAlignment="1" applyProtection="1"/>
    <xf numFmtId="174" fontId="24" fillId="0" borderId="0" xfId="0" quotePrefix="1" applyNumberFormat="1" applyFont="1" applyBorder="1" applyAlignment="1" applyProtection="1">
      <alignment horizontal="left"/>
    </xf>
    <xf numFmtId="174" fontId="24" fillId="34" borderId="0" xfId="0" applyNumberFormat="1" applyFont="1" applyFill="1" applyAlignment="1" applyProtection="1"/>
    <xf numFmtId="164" fontId="24" fillId="0" borderId="0" xfId="0" quotePrefix="1" applyNumberFormat="1" applyFont="1" applyBorder="1" applyAlignment="1" applyProtection="1"/>
    <xf numFmtId="164" fontId="51" fillId="0" borderId="0" xfId="0" applyNumberFormat="1" applyFont="1" applyAlignment="1"/>
    <xf numFmtId="0" fontId="24" fillId="0" borderId="0" xfId="0" quotePrefix="1" applyNumberFormat="1" applyFont="1" applyAlignment="1">
      <alignment horizontal="left"/>
    </xf>
    <xf numFmtId="0" fontId="24" fillId="0" borderId="0" xfId="0" quotePrefix="1" applyNumberFormat="1" applyFont="1" applyAlignment="1">
      <alignment horizontal="center"/>
    </xf>
    <xf numFmtId="170" fontId="24" fillId="0" borderId="0" xfId="0" quotePrefix="1" applyNumberFormat="1" applyFont="1" applyBorder="1" applyAlignment="1" applyProtection="1"/>
    <xf numFmtId="170" fontId="24" fillId="0" borderId="0" xfId="0" quotePrefix="1" applyNumberFormat="1" applyFont="1" applyBorder="1" applyAlignment="1" applyProtection="1">
      <alignment horizontal="center"/>
    </xf>
    <xf numFmtId="170" fontId="24" fillId="0" borderId="21" xfId="0" applyNumberFormat="1" applyFont="1" applyBorder="1" applyAlignment="1" applyProtection="1"/>
    <xf numFmtId="170" fontId="24" fillId="0" borderId="0" xfId="0" quotePrefix="1" applyNumberFormat="1" applyFont="1" applyBorder="1" applyAlignment="1" applyProtection="1">
      <alignment horizontal="left"/>
    </xf>
    <xf numFmtId="170" fontId="24" fillId="0" borderId="14" xfId="0" applyNumberFormat="1" applyFont="1" applyBorder="1" applyAlignment="1" applyProtection="1"/>
    <xf numFmtId="170" fontId="24" fillId="34" borderId="0" xfId="0" applyNumberFormat="1" applyFont="1" applyFill="1" applyAlignment="1" applyProtection="1"/>
    <xf numFmtId="164" fontId="51" fillId="0" borderId="0" xfId="0" applyNumberFormat="1" applyFont="1" applyAlignment="1" applyProtection="1"/>
    <xf numFmtId="170" fontId="24" fillId="0" borderId="0" xfId="0" quotePrefix="1" applyNumberFormat="1" applyFont="1" applyBorder="1" applyAlignment="1" applyProtection="1">
      <alignment horizontal="right"/>
    </xf>
    <xf numFmtId="170" fontId="24" fillId="0" borderId="69" xfId="0" applyNumberFormat="1" applyFont="1" applyBorder="1" applyAlignment="1" applyProtection="1"/>
    <xf numFmtId="170" fontId="24" fillId="0" borderId="69" xfId="0" quotePrefix="1" applyNumberFormat="1" applyFont="1" applyBorder="1" applyAlignment="1" applyProtection="1"/>
    <xf numFmtId="164" fontId="51" fillId="0" borderId="69" xfId="0" quotePrefix="1" applyNumberFormat="1" applyFont="1" applyBorder="1" applyAlignment="1" applyProtection="1">
      <alignment horizontal="right"/>
    </xf>
    <xf numFmtId="170" fontId="31" fillId="0" borderId="33" xfId="0" applyNumberFormat="1" applyFont="1" applyBorder="1" applyAlignment="1" applyProtection="1"/>
    <xf numFmtId="170" fontId="31" fillId="0" borderId="0" xfId="0" applyNumberFormat="1" applyFont="1" applyBorder="1" applyAlignment="1" applyProtection="1"/>
    <xf numFmtId="170" fontId="31" fillId="0" borderId="0" xfId="0" applyNumberFormat="1" applyFont="1" applyAlignment="1" applyProtection="1"/>
    <xf numFmtId="170" fontId="31" fillId="0" borderId="0" xfId="0" quotePrefix="1" applyNumberFormat="1" applyFont="1" applyBorder="1" applyAlignment="1" applyProtection="1"/>
    <xf numFmtId="170" fontId="31" fillId="0" borderId="21" xfId="0" applyNumberFormat="1" applyFont="1" applyBorder="1" applyAlignment="1" applyProtection="1"/>
    <xf numFmtId="170" fontId="31" fillId="0" borderId="20" xfId="0" quotePrefix="1" applyNumberFormat="1" applyFont="1" applyBorder="1" applyAlignment="1" applyProtection="1"/>
    <xf numFmtId="170" fontId="31" fillId="0" borderId="0" xfId="0" quotePrefix="1" applyNumberFormat="1" applyFont="1" applyBorder="1" applyAlignment="1" applyProtection="1">
      <alignment horizontal="left"/>
    </xf>
    <xf numFmtId="170" fontId="31" fillId="0" borderId="14" xfId="0" applyNumberFormat="1" applyFont="1" applyBorder="1" applyAlignment="1" applyProtection="1"/>
    <xf numFmtId="170" fontId="31" fillId="34" borderId="0" xfId="0" applyNumberFormat="1" applyFont="1" applyFill="1" applyAlignment="1" applyProtection="1"/>
    <xf numFmtId="170" fontId="31" fillId="0" borderId="69" xfId="0" quotePrefix="1" applyNumberFormat="1" applyFont="1" applyBorder="1" applyAlignment="1" applyProtection="1"/>
    <xf numFmtId="164" fontId="52" fillId="0" borderId="69" xfId="0" applyNumberFormat="1" applyFont="1" applyBorder="1" applyAlignment="1" applyProtection="1"/>
    <xf numFmtId="164" fontId="52" fillId="0" borderId="0" xfId="0" applyNumberFormat="1" applyFont="1" applyAlignment="1"/>
    <xf numFmtId="165" fontId="52" fillId="0" borderId="0" xfId="0" applyNumberFormat="1" applyFont="1" applyAlignment="1"/>
    <xf numFmtId="165" fontId="63" fillId="0" borderId="0" xfId="0" applyNumberFormat="1" applyFont="1" applyAlignment="1"/>
    <xf numFmtId="170" fontId="24" fillId="0" borderId="0" xfId="0" quotePrefix="1" applyNumberFormat="1" applyFont="1" applyAlignment="1" applyProtection="1">
      <alignment horizontal="right"/>
    </xf>
    <xf numFmtId="170" fontId="24" fillId="0" borderId="20" xfId="0" quotePrefix="1" applyNumberFormat="1" applyFont="1" applyBorder="1" applyAlignment="1" applyProtection="1">
      <alignment horizontal="center"/>
    </xf>
    <xf numFmtId="170" fontId="24" fillId="0" borderId="20" xfId="0" quotePrefix="1" applyNumberFormat="1" applyFont="1" applyBorder="1" applyAlignment="1" applyProtection="1">
      <alignment horizontal="right"/>
    </xf>
    <xf numFmtId="166" fontId="51" fillId="0" borderId="0" xfId="0" applyNumberFormat="1" applyFont="1" applyAlignment="1"/>
    <xf numFmtId="164" fontId="51" fillId="0" borderId="69" xfId="0" applyNumberFormat="1" applyFont="1" applyBorder="1" applyAlignment="1" applyProtection="1"/>
    <xf numFmtId="0" fontId="31" fillId="0" borderId="0" xfId="0" quotePrefix="1" applyNumberFormat="1" applyFont="1" applyAlignment="1">
      <alignment horizontal="left"/>
    </xf>
    <xf numFmtId="170" fontId="31" fillId="0" borderId="20" xfId="0" applyNumberFormat="1" applyFont="1" applyBorder="1" applyAlignment="1" applyProtection="1"/>
    <xf numFmtId="170" fontId="31" fillId="0" borderId="83" xfId="0" quotePrefix="1" applyNumberFormat="1" applyFont="1" applyBorder="1" applyAlignment="1" applyProtection="1">
      <alignment horizontal="left"/>
    </xf>
    <xf numFmtId="170" fontId="31" fillId="0" borderId="74" xfId="0" applyNumberFormat="1" applyFont="1" applyBorder="1" applyAlignment="1" applyProtection="1"/>
    <xf numFmtId="164" fontId="52" fillId="0" borderId="74" xfId="0" applyNumberFormat="1" applyFont="1" applyBorder="1" applyAlignment="1" applyProtection="1"/>
    <xf numFmtId="170" fontId="24" fillId="0" borderId="20" xfId="0" applyNumberFormat="1" applyFont="1" applyBorder="1" applyAlignment="1" applyProtection="1"/>
    <xf numFmtId="170" fontId="24" fillId="0" borderId="0" xfId="0" quotePrefix="1" applyNumberFormat="1" applyFont="1" applyAlignment="1" applyProtection="1"/>
    <xf numFmtId="170" fontId="24" fillId="0" borderId="83" xfId="0" quotePrefix="1" applyNumberFormat="1" applyFont="1" applyBorder="1" applyAlignment="1" applyProtection="1">
      <alignment horizontal="left"/>
    </xf>
    <xf numFmtId="170" fontId="31" fillId="0" borderId="83" xfId="0" applyNumberFormat="1" applyFont="1" applyBorder="1" applyAlignment="1" applyProtection="1"/>
    <xf numFmtId="166" fontId="31" fillId="0" borderId="0" xfId="0" applyNumberFormat="1" applyFont="1" applyBorder="1" applyAlignment="1" applyProtection="1"/>
    <xf numFmtId="170" fontId="31" fillId="0" borderId="20" xfId="0" quotePrefix="1" applyNumberFormat="1" applyFont="1" applyBorder="1" applyAlignment="1" applyProtection="1">
      <alignment horizontal="center"/>
    </xf>
    <xf numFmtId="170" fontId="31" fillId="0" borderId="74" xfId="0" quotePrefix="1" applyNumberFormat="1" applyFont="1" applyBorder="1" applyAlignment="1" applyProtection="1"/>
    <xf numFmtId="164" fontId="51" fillId="0" borderId="0" xfId="0" quotePrefix="1" applyNumberFormat="1" applyFont="1" applyAlignment="1" applyProtection="1"/>
    <xf numFmtId="166" fontId="31" fillId="0" borderId="20" xfId="0" applyNumberFormat="1" applyFont="1" applyBorder="1" applyAlignment="1" applyProtection="1"/>
    <xf numFmtId="165" fontId="31" fillId="0" borderId="0" xfId="0" applyNumberFormat="1" applyFont="1" applyAlignment="1" applyProtection="1"/>
    <xf numFmtId="165" fontId="31" fillId="0" borderId="21" xfId="0" applyNumberFormat="1" applyFont="1" applyBorder="1" applyAlignment="1" applyProtection="1"/>
    <xf numFmtId="165" fontId="31" fillId="0" borderId="0" xfId="0" applyNumberFormat="1" applyFont="1" applyBorder="1" applyAlignment="1" applyProtection="1"/>
    <xf numFmtId="165" fontId="31" fillId="0" borderId="14" xfId="0" applyNumberFormat="1" applyFont="1" applyBorder="1" applyAlignment="1" applyProtection="1"/>
    <xf numFmtId="165" fontId="31" fillId="34" borderId="0" xfId="0" applyNumberFormat="1" applyFont="1" applyFill="1" applyAlignment="1" applyProtection="1"/>
    <xf numFmtId="166" fontId="31" fillId="0" borderId="19" xfId="0" applyNumberFormat="1" applyFont="1" applyBorder="1" applyAlignment="1" applyProtection="1"/>
    <xf numFmtId="164" fontId="52" fillId="0" borderId="19" xfId="0" applyNumberFormat="1" applyFont="1" applyBorder="1" applyAlignment="1" applyProtection="1"/>
    <xf numFmtId="174" fontId="31" fillId="0" borderId="17" xfId="0" applyNumberFormat="1" applyFont="1" applyBorder="1" applyAlignment="1" applyProtection="1"/>
    <xf numFmtId="174" fontId="31" fillId="0" borderId="0" xfId="0" applyNumberFormat="1" applyFont="1" applyBorder="1" applyAlignment="1" applyProtection="1"/>
    <xf numFmtId="174" fontId="31" fillId="0" borderId="0" xfId="0" applyNumberFormat="1" applyFont="1" applyAlignment="1" applyProtection="1">
      <alignment horizontal="center"/>
    </xf>
    <xf numFmtId="174" fontId="31" fillId="0" borderId="0" xfId="0" applyNumberFormat="1" applyFont="1" applyAlignment="1" applyProtection="1"/>
    <xf numFmtId="174" fontId="31" fillId="0" borderId="26" xfId="0" applyNumberFormat="1" applyFont="1" applyBorder="1" applyAlignment="1" applyProtection="1"/>
    <xf numFmtId="174" fontId="31" fillId="0" borderId="41" xfId="0" applyNumberFormat="1" applyFont="1" applyBorder="1" applyAlignment="1" applyProtection="1"/>
    <xf numFmtId="174" fontId="31" fillId="0" borderId="83" xfId="0" applyNumberFormat="1" applyFont="1" applyBorder="1" applyAlignment="1" applyProtection="1"/>
    <xf numFmtId="174" fontId="31" fillId="34" borderId="0" xfId="0" applyNumberFormat="1" applyFont="1" applyFill="1" applyAlignment="1" applyProtection="1"/>
    <xf numFmtId="164" fontId="52" fillId="0" borderId="17" xfId="0" applyNumberFormat="1" applyFont="1" applyBorder="1" applyAlignment="1" applyProtection="1"/>
    <xf numFmtId="9" fontId="29" fillId="0" borderId="0" xfId="2" applyNumberFormat="1" applyFont="1" applyAlignment="1"/>
    <xf numFmtId="172" fontId="26" fillId="0" borderId="0" xfId="0" applyNumberFormat="1" applyFont="1" applyBorder="1" applyAlignment="1" applyProtection="1">
      <protection locked="0"/>
    </xf>
    <xf numFmtId="166" fontId="31" fillId="0" borderId="69" xfId="0" applyNumberFormat="1" applyFont="1" applyFill="1" applyBorder="1" applyAlignment="1">
      <alignment horizontal="center"/>
    </xf>
    <xf numFmtId="170" fontId="31" fillId="0" borderId="0" xfId="2" applyNumberFormat="1" applyFont="1" applyFill="1" applyBorder="1" applyAlignment="1">
      <alignment horizontal="right"/>
    </xf>
    <xf numFmtId="174" fontId="31" fillId="0" borderId="0" xfId="6" applyNumberFormat="1" applyFont="1" applyFill="1" applyBorder="1" applyAlignment="1"/>
    <xf numFmtId="172" fontId="169" fillId="0" borderId="0" xfId="1940" applyNumberFormat="1" applyFont="1" applyAlignment="1"/>
    <xf numFmtId="174" fontId="31" fillId="0" borderId="35" xfId="2" quotePrefix="1" applyNumberFormat="1" applyFont="1" applyBorder="1" applyAlignment="1"/>
    <xf numFmtId="10" fontId="29"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1" fillId="0" borderId="0" xfId="861" applyNumberFormat="1" applyAlignment="1" applyProtection="1"/>
    <xf numFmtId="170" fontId="0" fillId="0" borderId="0" xfId="2" applyNumberFormat="1" applyFont="1" applyFill="1" applyAlignment="1"/>
    <xf numFmtId="165" fontId="29" fillId="0" borderId="10" xfId="2" applyNumberFormat="1" applyFont="1" applyBorder="1" applyAlignment="1">
      <alignment horizontal="centerContinuous"/>
    </xf>
    <xf numFmtId="0" fontId="31" fillId="0" borderId="10" xfId="2" applyNumberFormat="1" applyFont="1" applyBorder="1" applyAlignment="1">
      <alignment horizontal="centerContinuous"/>
    </xf>
    <xf numFmtId="178" fontId="31" fillId="0" borderId="69" xfId="740" quotePrefix="1" applyNumberFormat="1" applyFont="1" applyBorder="1" applyAlignment="1">
      <alignment horizontal="center"/>
    </xf>
    <xf numFmtId="178" fontId="0" fillId="0" borderId="0" xfId="0" applyNumberFormat="1"/>
    <xf numFmtId="195" fontId="24" fillId="0" borderId="0" xfId="2" applyNumberFormat="1" applyFont="1" applyAlignment="1"/>
    <xf numFmtId="166" fontId="24" fillId="0" borderId="21" xfId="2" applyNumberFormat="1" applyFont="1" applyBorder="1" applyAlignment="1"/>
    <xf numFmtId="170" fontId="24" fillId="0" borderId="47" xfId="2" applyNumberFormat="1" applyFont="1" applyBorder="1" applyAlignment="1"/>
    <xf numFmtId="170" fontId="26" fillId="0" borderId="83" xfId="4" applyNumberFormat="1" applyFont="1" applyFill="1" applyBorder="1"/>
    <xf numFmtId="164" fontId="31" fillId="0" borderId="0" xfId="2" applyNumberFormat="1" applyFont="1" applyAlignment="1" applyProtection="1">
      <protection locked="0"/>
    </xf>
    <xf numFmtId="175" fontId="26" fillId="0" borderId="83" xfId="4" applyNumberFormat="1" applyFont="1" applyFill="1" applyBorder="1"/>
    <xf numFmtId="0" fontId="31" fillId="0" borderId="0" xfId="2" applyNumberFormat="1" applyFont="1" applyAlignment="1">
      <alignment horizontal="left"/>
    </xf>
    <xf numFmtId="174" fontId="24" fillId="0" borderId="18" xfId="2" applyNumberFormat="1" applyFont="1" applyBorder="1" applyAlignment="1">
      <alignment horizontal="right"/>
    </xf>
    <xf numFmtId="166" fontId="26" fillId="0" borderId="83" xfId="4" applyNumberFormat="1" applyFont="1" applyFill="1" applyBorder="1"/>
    <xf numFmtId="170" fontId="31" fillId="0" borderId="45" xfId="5" applyNumberFormat="1" applyFont="1" applyFill="1" applyBorder="1"/>
    <xf numFmtId="0" fontId="31" fillId="0" borderId="0" xfId="2" applyNumberFormat="1" applyFont="1" applyAlignment="1">
      <alignment horizontal="left"/>
    </xf>
    <xf numFmtId="170" fontId="0" fillId="0" borderId="0" xfId="0" applyNumberFormat="1"/>
    <xf numFmtId="174" fontId="162" fillId="0" borderId="13" xfId="2" applyNumberFormat="1" applyFont="1" applyFill="1" applyBorder="1" applyAlignment="1"/>
    <xf numFmtId="174" fontId="162" fillId="0" borderId="21" xfId="2" applyNumberFormat="1" applyFont="1" applyFill="1" applyBorder="1" applyAlignment="1"/>
    <xf numFmtId="174" fontId="162" fillId="0" borderId="0" xfId="2" applyNumberFormat="1" applyFont="1" applyFill="1" applyBorder="1"/>
    <xf numFmtId="174" fontId="163" fillId="0" borderId="15" xfId="2" applyNumberFormat="1" applyFont="1" applyFill="1" applyBorder="1"/>
    <xf numFmtId="178" fontId="24" fillId="0" borderId="0" xfId="740" applyNumberFormat="1" applyFont="1" applyFill="1" applyBorder="1" applyAlignment="1" applyProtection="1">
      <alignment horizontal="center"/>
    </xf>
    <xf numFmtId="178" fontId="24" fillId="0" borderId="0" xfId="0" applyNumberFormat="1" applyFont="1" applyFill="1" applyBorder="1" applyAlignment="1" applyProtection="1">
      <alignment horizontal="center"/>
    </xf>
    <xf numFmtId="178" fontId="29" fillId="0" borderId="0" xfId="0" applyNumberFormat="1" applyFont="1" applyFill="1" applyBorder="1" applyAlignment="1" applyProtection="1">
      <alignment horizontal="center"/>
    </xf>
    <xf numFmtId="178" fontId="24" fillId="0" borderId="0" xfId="0" applyNumberFormat="1" applyFont="1" applyFill="1" applyBorder="1" applyAlignment="1" applyProtection="1">
      <alignment horizontal="center" vertical="top"/>
    </xf>
    <xf numFmtId="170" fontId="24" fillId="0" borderId="10" xfId="0" applyNumberFormat="1" applyFont="1" applyFill="1" applyBorder="1" applyAlignment="1"/>
    <xf numFmtId="164" fontId="24" fillId="0" borderId="0" xfId="1940" applyNumberFormat="1" applyFont="1" applyAlignment="1"/>
    <xf numFmtId="164" fontId="31" fillId="0" borderId="0" xfId="1940" applyNumberFormat="1" applyFont="1" applyAlignment="1"/>
    <xf numFmtId="164" fontId="31" fillId="0" borderId="69" xfId="1940" applyNumberFormat="1" applyFont="1" applyBorder="1" applyAlignment="1"/>
    <xf numFmtId="174" fontId="24" fillId="0" borderId="24" xfId="2" applyNumberFormat="1" applyFont="1" applyBorder="1" applyAlignment="1"/>
    <xf numFmtId="174" fontId="24" fillId="0" borderId="15" xfId="2" applyNumberFormat="1" applyFont="1" applyBorder="1" applyAlignment="1"/>
    <xf numFmtId="164" fontId="24" fillId="0" borderId="0" xfId="2" applyNumberFormat="1" applyFont="1" applyAlignment="1" applyProtection="1">
      <protection locked="0"/>
    </xf>
    <xf numFmtId="170" fontId="24" fillId="0" borderId="14" xfId="2" applyNumberFormat="1" applyFont="1" applyBorder="1" applyAlignment="1"/>
    <xf numFmtId="170" fontId="24" fillId="0" borderId="21" xfId="2" applyNumberFormat="1" applyFont="1" applyBorder="1" applyAlignment="1"/>
    <xf numFmtId="170" fontId="24" fillId="0" borderId="18" xfId="2" applyNumberFormat="1" applyFont="1" applyBorder="1"/>
    <xf numFmtId="170" fontId="24" fillId="0" borderId="15" xfId="2" applyNumberFormat="1" applyFont="1" applyBorder="1" applyAlignment="1"/>
    <xf numFmtId="43" fontId="24" fillId="0" borderId="0" xfId="2" applyNumberFormat="1" applyFont="1" applyBorder="1" applyAlignment="1"/>
    <xf numFmtId="170" fontId="24" fillId="0" borderId="25" xfId="2" applyNumberFormat="1" applyFont="1" applyBorder="1" applyAlignment="1"/>
    <xf numFmtId="175" fontId="24" fillId="0" borderId="0" xfId="2" applyNumberFormat="1" applyFont="1" applyBorder="1" applyAlignment="1"/>
    <xf numFmtId="170" fontId="24" fillId="0" borderId="13" xfId="2" applyNumberFormat="1" applyFont="1" applyBorder="1" applyAlignment="1"/>
    <xf numFmtId="170" fontId="24" fillId="0" borderId="0" xfId="2" quotePrefix="1" applyNumberFormat="1" applyFont="1" applyBorder="1" applyAlignment="1"/>
    <xf numFmtId="170" fontId="24" fillId="0" borderId="12" xfId="2" quotePrefix="1" applyNumberFormat="1" applyFont="1" applyBorder="1" applyAlignment="1">
      <alignment horizontal="center"/>
    </xf>
    <xf numFmtId="170" fontId="24" fillId="0" borderId="18" xfId="2" applyNumberFormat="1" applyFont="1" applyBorder="1" applyAlignment="1"/>
    <xf numFmtId="170" fontId="24" fillId="0" borderId="10" xfId="2" quotePrefix="1" applyNumberFormat="1" applyFont="1" applyBorder="1" applyAlignment="1">
      <alignment horizontal="right"/>
    </xf>
    <xf numFmtId="170" fontId="24" fillId="0" borderId="15" xfId="2" quotePrefix="1" applyNumberFormat="1" applyFont="1" applyBorder="1" applyAlignment="1">
      <alignment horizontal="right"/>
    </xf>
    <xf numFmtId="170" fontId="24" fillId="0" borderId="13" xfId="2" quotePrefix="1" applyNumberFormat="1" applyFont="1" applyBorder="1" applyAlignment="1">
      <alignment horizontal="right"/>
    </xf>
    <xf numFmtId="170" fontId="24" fillId="0" borderId="15" xfId="2" quotePrefix="1" applyNumberFormat="1" applyFont="1" applyBorder="1" applyAlignment="1"/>
    <xf numFmtId="170" fontId="24" fillId="0" borderId="69" xfId="2" quotePrefix="1" applyNumberFormat="1" applyFont="1" applyBorder="1" applyAlignment="1">
      <alignment horizontal="center"/>
    </xf>
    <xf numFmtId="170" fontId="24" fillId="0" borderId="10" xfId="2" quotePrefix="1" applyNumberFormat="1" applyFont="1" applyBorder="1" applyAlignment="1">
      <alignment horizontal="center"/>
    </xf>
    <xf numFmtId="170" fontId="24" fillId="0" borderId="31" xfId="2" applyNumberFormat="1" applyFont="1" applyBorder="1" applyAlignment="1"/>
    <xf numFmtId="170" fontId="24" fillId="0" borderId="10" xfId="2" quotePrefix="1" applyNumberFormat="1" applyFont="1" applyBorder="1" applyAlignment="1"/>
    <xf numFmtId="175" fontId="24" fillId="0" borderId="0" xfId="2" quotePrefix="1" applyNumberFormat="1" applyFont="1" applyBorder="1" applyAlignment="1">
      <alignment horizontal="right"/>
    </xf>
    <xf numFmtId="169" fontId="24" fillId="0" borderId="36" xfId="2" applyNumberFormat="1" applyFont="1" applyBorder="1" applyAlignment="1"/>
    <xf numFmtId="168" fontId="24" fillId="0" borderId="0" xfId="2" applyNumberFormat="1" applyFont="1" applyBorder="1" applyAlignment="1" applyProtection="1">
      <protection locked="0"/>
    </xf>
    <xf numFmtId="168" fontId="24" fillId="0" borderId="0" xfId="2" applyNumberFormat="1" applyFont="1" applyAlignment="1" applyProtection="1">
      <protection locked="0"/>
    </xf>
    <xf numFmtId="170" fontId="24" fillId="0" borderId="19" xfId="2" applyNumberFormat="1" applyFont="1" applyBorder="1" applyAlignment="1"/>
    <xf numFmtId="168" fontId="24" fillId="0" borderId="0" xfId="2" applyNumberFormat="1" applyFont="1" applyAlignment="1"/>
    <xf numFmtId="165" fontId="24" fillId="0" borderId="0" xfId="2" applyNumberFormat="1" applyFont="1" applyBorder="1" applyAlignment="1"/>
    <xf numFmtId="168" fontId="24" fillId="0" borderId="0" xfId="2" applyNumberFormat="1" applyFont="1" applyFill="1" applyBorder="1" applyAlignment="1"/>
    <xf numFmtId="164" fontId="31" fillId="0" borderId="16" xfId="2" applyNumberFormat="1" applyFont="1" applyFill="1" applyBorder="1" applyAlignment="1"/>
    <xf numFmtId="164" fontId="24" fillId="0" borderId="19" xfId="2" applyNumberFormat="1" applyFont="1" applyBorder="1" applyAlignment="1"/>
    <xf numFmtId="169" fontId="30" fillId="0" borderId="0" xfId="2" applyNumberFormat="1" applyFont="1" applyBorder="1" applyAlignment="1"/>
    <xf numFmtId="170" fontId="24" fillId="0" borderId="10" xfId="2" applyNumberFormat="1" applyFont="1" applyBorder="1" applyAlignment="1"/>
    <xf numFmtId="164" fontId="31" fillId="0" borderId="45" xfId="2" quotePrefix="1" applyNumberFormat="1" applyFont="1" applyBorder="1" applyAlignment="1"/>
    <xf numFmtId="164" fontId="31" fillId="0" borderId="10" xfId="2" quotePrefix="1" applyNumberFormat="1" applyFont="1" applyBorder="1" applyAlignment="1">
      <alignment horizontal="right"/>
    </xf>
    <xf numFmtId="170" fontId="30" fillId="0" borderId="0" xfId="2" applyNumberFormat="1" applyFont="1" applyBorder="1" applyAlignment="1"/>
    <xf numFmtId="164" fontId="24" fillId="0" borderId="20" xfId="2" applyNumberFormat="1" applyFont="1" applyBorder="1" applyAlignment="1"/>
    <xf numFmtId="164" fontId="24" fillId="0" borderId="0" xfId="0" applyNumberFormat="1" applyFont="1" applyProtection="1">
      <protection locked="0"/>
    </xf>
    <xf numFmtId="164" fontId="24" fillId="0" borderId="16" xfId="0" applyNumberFormat="1" applyFont="1" applyBorder="1" applyProtection="1">
      <protection locked="0"/>
    </xf>
    <xf numFmtId="172" fontId="24" fillId="0" borderId="0" xfId="2" applyNumberFormat="1" applyFont="1" applyAlignment="1"/>
    <xf numFmtId="170" fontId="24" fillId="0" borderId="19" xfId="2" applyNumberFormat="1" applyFont="1" applyBorder="1" applyAlignment="1">
      <alignment horizontal="right"/>
    </xf>
    <xf numFmtId="165" fontId="24" fillId="0" borderId="0" xfId="2" applyNumberFormat="1" applyFont="1" applyAlignment="1">
      <alignment horizontal="right"/>
    </xf>
    <xf numFmtId="165" fontId="24" fillId="0" borderId="0" xfId="2" applyNumberFormat="1" applyFont="1" applyBorder="1" applyAlignment="1">
      <alignment horizontal="right"/>
    </xf>
    <xf numFmtId="178" fontId="24" fillId="0" borderId="0" xfId="0" applyNumberFormat="1" applyFont="1" applyAlignment="1">
      <alignment horizontal="center"/>
    </xf>
    <xf numFmtId="172" fontId="31" fillId="0" borderId="69" xfId="0" applyNumberFormat="1" applyFont="1" applyBorder="1" applyAlignment="1" applyProtection="1">
      <protection locked="0"/>
    </xf>
    <xf numFmtId="164" fontId="49" fillId="0" borderId="0" xfId="1940" applyNumberFormat="1" applyFont="1" applyAlignment="1"/>
    <xf numFmtId="170" fontId="54" fillId="0" borderId="69" xfId="2" applyNumberFormat="1" applyFont="1" applyBorder="1" applyAlignment="1"/>
    <xf numFmtId="170" fontId="49" fillId="0" borderId="69" xfId="2" applyNumberFormat="1" applyFont="1" applyBorder="1" applyAlignment="1"/>
    <xf numFmtId="164" fontId="24" fillId="0" borderId="69" xfId="1940" applyNumberFormat="1" applyFont="1" applyBorder="1" applyAlignment="1"/>
    <xf numFmtId="39" fontId="24" fillId="0" borderId="0" xfId="2" applyNumberFormat="1" applyFont="1" applyBorder="1"/>
    <xf numFmtId="174" fontId="24" fillId="0" borderId="0" xfId="2" quotePrefix="1" applyNumberFormat="1" applyFont="1" applyFill="1" applyAlignment="1"/>
    <xf numFmtId="170" fontId="24" fillId="0" borderId="21" xfId="2" applyNumberFormat="1" applyFont="1" applyFill="1" applyBorder="1" applyAlignment="1"/>
    <xf numFmtId="174" fontId="24" fillId="0" borderId="79" xfId="2" applyNumberFormat="1" applyFont="1" applyFill="1" applyBorder="1" applyAlignment="1"/>
    <xf numFmtId="174" fontId="24" fillId="0" borderId="15" xfId="2" applyNumberFormat="1" applyFont="1" applyFill="1" applyBorder="1" applyAlignment="1">
      <alignment horizontal="right"/>
    </xf>
    <xf numFmtId="170" fontId="24" fillId="0" borderId="13" xfId="1" applyNumberFormat="1" applyFont="1" applyFill="1" applyBorder="1" applyAlignment="1"/>
    <xf numFmtId="170" fontId="24" fillId="0" borderId="0" xfId="1" applyNumberFormat="1" applyFont="1" applyFill="1" applyBorder="1" applyAlignment="1"/>
    <xf numFmtId="170" fontId="24" fillId="0" borderId="0" xfId="1" applyNumberFormat="1" applyFont="1" applyFill="1" applyAlignment="1">
      <alignment horizontal="right"/>
    </xf>
    <xf numFmtId="170" fontId="24" fillId="0" borderId="15" xfId="1" applyNumberFormat="1" applyFont="1" applyFill="1" applyBorder="1" applyAlignment="1">
      <alignment horizontal="right"/>
    </xf>
    <xf numFmtId="0" fontId="175" fillId="0" borderId="0" xfId="8" applyFont="1"/>
    <xf numFmtId="0" fontId="162" fillId="0" borderId="0" xfId="8" applyFont="1"/>
    <xf numFmtId="43" fontId="101" fillId="0" borderId="74" xfId="1773" applyNumberFormat="1" applyFont="1" applyFill="1" applyBorder="1" applyAlignment="1"/>
    <xf numFmtId="166" fontId="36" fillId="0" borderId="0" xfId="8" applyNumberFormat="1" applyFont="1" applyFill="1" applyAlignment="1">
      <alignment horizontal="right"/>
    </xf>
    <xf numFmtId="166" fontId="36" fillId="0" borderId="0" xfId="8" quotePrefix="1" applyNumberFormat="1" applyFont="1" applyFill="1" applyAlignment="1"/>
    <xf numFmtId="166" fontId="36" fillId="0" borderId="0" xfId="8" applyNumberFormat="1" applyFont="1" applyAlignment="1">
      <alignment horizontal="right" vertical="top"/>
    </xf>
    <xf numFmtId="42" fontId="36" fillId="0" borderId="0" xfId="1798" quotePrefix="1" applyNumberFormat="1" applyFont="1" applyAlignment="1">
      <alignment horizontal="right"/>
    </xf>
    <xf numFmtId="41" fontId="36" fillId="0" borderId="0" xfId="1798" quotePrefix="1" applyNumberFormat="1" applyFont="1" applyAlignment="1">
      <alignment horizontal="center"/>
    </xf>
    <xf numFmtId="37" fontId="36" fillId="0" borderId="0" xfId="1798" quotePrefix="1" applyNumberFormat="1" applyFont="1" applyAlignment="1"/>
    <xf numFmtId="41" fontId="36" fillId="0" borderId="0" xfId="1798" quotePrefix="1" applyNumberFormat="1" applyFont="1" applyAlignment="1">
      <alignment horizontal="right"/>
    </xf>
    <xf numFmtId="41" fontId="24" fillId="0" borderId="0" xfId="8" applyNumberFormat="1" applyFont="1" applyAlignment="1">
      <alignment horizontal="right"/>
    </xf>
    <xf numFmtId="42" fontId="104" fillId="0" borderId="35" xfId="8" applyNumberFormat="1" applyFont="1" applyBorder="1"/>
    <xf numFmtId="0" fontId="31" fillId="0" borderId="0" xfId="8" applyFont="1"/>
    <xf numFmtId="41" fontId="176" fillId="0" borderId="0" xfId="0" applyNumberFormat="1" applyFont="1" applyAlignment="1">
      <alignment horizontal="center" vertical="top"/>
    </xf>
    <xf numFmtId="41" fontId="177" fillId="0" borderId="0" xfId="0" applyNumberFormat="1" applyFont="1" applyAlignment="1">
      <alignment horizontal="right" vertical="top"/>
    </xf>
    <xf numFmtId="41" fontId="177" fillId="0" borderId="0" xfId="0" applyNumberFormat="1" applyFont="1" applyAlignment="1">
      <alignment horizontal="center" vertical="top"/>
    </xf>
    <xf numFmtId="41" fontId="176" fillId="0" borderId="0" xfId="0" applyNumberFormat="1" applyFont="1" applyAlignment="1">
      <alignment horizontal="right" vertical="top"/>
    </xf>
    <xf numFmtId="172" fontId="24" fillId="0" borderId="0" xfId="0" applyNumberFormat="1" applyFont="1" applyBorder="1" applyAlignment="1" applyProtection="1">
      <protection locked="0"/>
    </xf>
    <xf numFmtId="174" fontId="24" fillId="0" borderId="0" xfId="0" applyNumberFormat="1" applyFont="1" applyBorder="1" applyAlignment="1" applyProtection="1">
      <protection locked="0"/>
    </xf>
    <xf numFmtId="174" fontId="24" fillId="0" borderId="21" xfId="0" applyNumberFormat="1" applyFont="1" applyBorder="1" applyAlignment="1" applyProtection="1">
      <protection locked="0"/>
    </xf>
    <xf numFmtId="174" fontId="24" fillId="0" borderId="18" xfId="0" applyNumberFormat="1" applyFont="1" applyBorder="1" applyAlignment="1" applyProtection="1">
      <protection locked="0"/>
    </xf>
    <xf numFmtId="174" fontId="24" fillId="0" borderId="14" xfId="0" applyNumberFormat="1" applyFont="1" applyBorder="1" applyAlignment="1" applyProtection="1">
      <protection locked="0"/>
    </xf>
    <xf numFmtId="174" fontId="24" fillId="0" borderId="0" xfId="0" quotePrefix="1" applyNumberFormat="1" applyFont="1" applyBorder="1" applyAlignment="1" applyProtection="1">
      <protection locked="0"/>
    </xf>
    <xf numFmtId="170" fontId="24" fillId="0" borderId="0" xfId="0" quotePrefix="1" applyNumberFormat="1" applyFont="1" applyBorder="1" applyAlignment="1" applyProtection="1">
      <protection locked="0"/>
    </xf>
    <xf numFmtId="170" fontId="24" fillId="0" borderId="21" xfId="0" applyNumberFormat="1" applyFont="1" applyBorder="1" applyAlignment="1" applyProtection="1">
      <protection locked="0"/>
    </xf>
    <xf numFmtId="166" fontId="24" fillId="0" borderId="0" xfId="0" quotePrefix="1" applyNumberFormat="1" applyFont="1" applyBorder="1" applyAlignment="1" applyProtection="1">
      <alignment horizontal="center"/>
      <protection locked="0"/>
    </xf>
    <xf numFmtId="170" fontId="24" fillId="0" borderId="0" xfId="0" quotePrefix="1" applyNumberFormat="1" applyFont="1" applyBorder="1" applyAlignment="1" applyProtection="1">
      <alignment horizontal="right"/>
      <protection locked="0"/>
    </xf>
    <xf numFmtId="170" fontId="31" fillId="0" borderId="0" xfId="0" quotePrefix="1" applyNumberFormat="1" applyFont="1" applyBorder="1" applyAlignment="1" applyProtection="1">
      <protection locked="0"/>
    </xf>
    <xf numFmtId="170" fontId="24" fillId="0" borderId="20" xfId="0" applyNumberFormat="1" applyFont="1" applyBorder="1" applyAlignment="1" applyProtection="1">
      <protection locked="0"/>
    </xf>
    <xf numFmtId="164" fontId="53" fillId="0" borderId="0" xfId="0" applyNumberFormat="1" applyFont="1" applyAlignment="1" applyProtection="1">
      <protection locked="0"/>
    </xf>
    <xf numFmtId="170" fontId="24" fillId="34" borderId="0" xfId="0" applyNumberFormat="1" applyFont="1" applyFill="1" applyAlignment="1" applyProtection="1">
      <protection locked="0"/>
    </xf>
    <xf numFmtId="166" fontId="24" fillId="0" borderId="0" xfId="0" quotePrefix="1" applyNumberFormat="1" applyFont="1" applyBorder="1" applyAlignment="1" applyProtection="1">
      <protection locked="0"/>
    </xf>
    <xf numFmtId="166" fontId="24" fillId="0" borderId="0" xfId="0" quotePrefix="1" applyNumberFormat="1" applyFont="1" applyBorder="1" applyAlignment="1" applyProtection="1">
      <alignment horizontal="right"/>
      <protection locked="0"/>
    </xf>
    <xf numFmtId="166" fontId="31" fillId="0" borderId="20" xfId="0" applyNumberFormat="1" applyFont="1" applyBorder="1" applyAlignment="1" applyProtection="1">
      <protection locked="0"/>
    </xf>
    <xf numFmtId="174" fontId="31" fillId="0" borderId="0" xfId="0" applyNumberFormat="1" applyFont="1" applyBorder="1" applyAlignment="1" applyProtection="1">
      <protection locked="0"/>
    </xf>
    <xf numFmtId="174" fontId="31" fillId="0" borderId="14" xfId="0" applyNumberFormat="1" applyFont="1" applyBorder="1" applyAlignment="1" applyProtection="1">
      <protection locked="0"/>
    </xf>
    <xf numFmtId="174" fontId="24" fillId="0" borderId="18" xfId="2" applyNumberFormat="1" applyFont="1" applyBorder="1" applyAlignment="1"/>
    <xf numFmtId="174" fontId="24" fillId="0" borderId="0" xfId="2" quotePrefix="1" applyNumberFormat="1" applyFont="1" applyFill="1" applyAlignment="1">
      <alignment horizontal="center"/>
    </xf>
    <xf numFmtId="39" fontId="31" fillId="0" borderId="0" xfId="1776" quotePrefix="1" applyNumberFormat="1" applyFont="1" applyFill="1" applyAlignment="1"/>
    <xf numFmtId="39" fontId="0" fillId="0" borderId="0" xfId="1776" applyNumberFormat="1" applyFont="1" applyFill="1" applyBorder="1" applyAlignment="1"/>
    <xf numFmtId="39" fontId="0" fillId="0" borderId="0" xfId="1776" applyNumberFormat="1" applyFont="1"/>
    <xf numFmtId="41" fontId="30" fillId="0" borderId="0" xfId="1773" applyNumberFormat="1" applyFont="1" applyFill="1" applyBorder="1" applyAlignment="1">
      <alignment horizontal="center" wrapText="1"/>
    </xf>
    <xf numFmtId="42" fontId="30" fillId="0" borderId="84" xfId="0" applyNumberFormat="1" applyFont="1" applyFill="1" applyBorder="1" applyAlignment="1">
      <alignment horizontal="right" vertical="top"/>
    </xf>
    <xf numFmtId="42" fontId="30" fillId="0" borderId="84" xfId="0" quotePrefix="1" applyNumberFormat="1" applyFont="1" applyFill="1" applyBorder="1" applyAlignment="1">
      <alignment horizontal="right"/>
    </xf>
    <xf numFmtId="170" fontId="26" fillId="0" borderId="10" xfId="2" applyNumberFormat="1" applyFont="1" applyFill="1" applyBorder="1" applyAlignment="1">
      <alignment horizontal="right"/>
    </xf>
    <xf numFmtId="0" fontId="54" fillId="0" borderId="0" xfId="2" applyNumberFormat="1" applyFont="1" applyFill="1" applyAlignment="1" applyProtection="1">
      <alignment horizontal="left" vertical="justify"/>
      <protection locked="0"/>
    </xf>
    <xf numFmtId="0" fontId="31" fillId="0" borderId="10" xfId="2" applyFont="1" applyFill="1" applyBorder="1" applyAlignment="1" applyProtection="1">
      <alignment horizontal="center"/>
      <protection locked="0"/>
    </xf>
    <xf numFmtId="0" fontId="31" fillId="0" borderId="10" xfId="2" applyFont="1" applyFill="1" applyBorder="1" applyAlignment="1">
      <alignment horizontal="center"/>
    </xf>
    <xf numFmtId="174" fontId="24" fillId="0" borderId="0" xfId="0" quotePrefix="1" applyNumberFormat="1" applyFont="1" applyAlignment="1" applyProtection="1">
      <alignment horizontal="right"/>
      <protection locked="0"/>
    </xf>
    <xf numFmtId="170" fontId="24" fillId="0" borderId="0" xfId="0" applyNumberFormat="1" applyFont="1" applyBorder="1" applyAlignment="1" applyProtection="1">
      <alignment horizontal="center"/>
    </xf>
    <xf numFmtId="170" fontId="24" fillId="0" borderId="0" xfId="0" applyNumberFormat="1" applyFont="1" applyFill="1" applyAlignment="1" applyProtection="1">
      <alignment horizontal="center"/>
    </xf>
    <xf numFmtId="170" fontId="24" fillId="0" borderId="0" xfId="0" applyNumberFormat="1" applyFont="1" applyFill="1" applyBorder="1" applyAlignment="1" applyProtection="1"/>
    <xf numFmtId="170" fontId="24" fillId="0" borderId="0" xfId="0" applyNumberFormat="1" applyFont="1" applyAlignment="1" applyProtection="1">
      <alignment horizontal="right"/>
    </xf>
    <xf numFmtId="174" fontId="24" fillId="0" borderId="0" xfId="0" applyNumberFormat="1" applyFont="1" applyAlignment="1" applyProtection="1">
      <alignment horizontal="right"/>
    </xf>
    <xf numFmtId="170" fontId="31" fillId="0" borderId="16" xfId="0" applyNumberFormat="1" applyFont="1" applyBorder="1" applyAlignment="1" applyProtection="1">
      <alignment horizontal="center"/>
    </xf>
    <xf numFmtId="170" fontId="24" fillId="0" borderId="0" xfId="0" applyNumberFormat="1" applyFont="1" applyBorder="1" applyAlignment="1" applyProtection="1">
      <alignment horizontal="right"/>
    </xf>
    <xf numFmtId="170" fontId="26" fillId="0" borderId="0" xfId="0" applyNumberFormat="1" applyFont="1" applyFill="1" applyBorder="1" applyAlignment="1" applyProtection="1"/>
    <xf numFmtId="167" fontId="26" fillId="0" borderId="0" xfId="0" applyNumberFormat="1" applyFont="1" applyFill="1" applyBorder="1" applyAlignment="1" applyProtection="1"/>
    <xf numFmtId="164" fontId="26" fillId="0" borderId="0" xfId="0" applyNumberFormat="1" applyFont="1" applyBorder="1" applyAlignment="1" applyProtection="1"/>
    <xf numFmtId="164" fontId="26" fillId="0" borderId="69" xfId="0" applyNumberFormat="1" applyFont="1" applyBorder="1" applyAlignment="1" applyProtection="1"/>
    <xf numFmtId="172" fontId="31" fillId="0" borderId="10" xfId="0" applyNumberFormat="1" applyFont="1" applyBorder="1" applyAlignment="1" applyProtection="1"/>
    <xf numFmtId="165" fontId="26" fillId="0" borderId="0" xfId="0" applyNumberFormat="1" applyFont="1" applyBorder="1" applyAlignment="1" applyProtection="1"/>
    <xf numFmtId="173" fontId="26" fillId="0" borderId="0" xfId="0" applyNumberFormat="1" applyFont="1" applyBorder="1" applyAlignment="1" applyProtection="1"/>
    <xf numFmtId="164" fontId="31" fillId="0" borderId="0" xfId="0" applyNumberFormat="1" applyFont="1" applyBorder="1" applyAlignment="1" applyProtection="1"/>
    <xf numFmtId="164" fontId="24" fillId="0" borderId="0" xfId="2" applyNumberFormat="1" applyFont="1" applyAlignment="1" applyProtection="1"/>
    <xf numFmtId="164" fontId="31" fillId="0" borderId="74" xfId="2" applyNumberFormat="1" applyFont="1" applyBorder="1" applyAlignment="1" applyProtection="1"/>
    <xf numFmtId="165" fontId="24" fillId="0" borderId="0" xfId="2" applyNumberFormat="1" applyFont="1" applyAlignment="1" applyProtection="1"/>
    <xf numFmtId="164" fontId="31" fillId="0" borderId="16" xfId="2" applyNumberFormat="1" applyFont="1" applyBorder="1" applyAlignment="1" applyProtection="1"/>
    <xf numFmtId="164" fontId="31" fillId="0" borderId="10" xfId="2" applyNumberFormat="1" applyFont="1" applyBorder="1" applyAlignment="1" applyProtection="1"/>
    <xf numFmtId="170" fontId="24" fillId="0" borderId="10" xfId="0" applyNumberFormat="1" applyFont="1" applyBorder="1" applyProtection="1"/>
    <xf numFmtId="164" fontId="31" fillId="0" borderId="69" xfId="2" applyNumberFormat="1" applyFont="1" applyBorder="1" applyAlignment="1" applyProtection="1"/>
    <xf numFmtId="164" fontId="31" fillId="0" borderId="84" xfId="2" applyNumberFormat="1" applyFont="1" applyBorder="1" applyAlignment="1" applyProtection="1"/>
    <xf numFmtId="0" fontId="31" fillId="0" borderId="0" xfId="2" applyFont="1" applyFill="1" applyBorder="1" applyAlignment="1" applyProtection="1">
      <alignment horizontal="center"/>
      <protection locked="0"/>
    </xf>
    <xf numFmtId="164" fontId="24" fillId="0" borderId="0" xfId="0" applyNumberFormat="1" applyFont="1" applyBorder="1" applyAlignment="1" applyProtection="1"/>
    <xf numFmtId="170" fontId="47" fillId="0" borderId="0" xfId="2" applyNumberFormat="1" applyFont="1" applyAlignment="1" applyProtection="1"/>
    <xf numFmtId="166" fontId="47" fillId="0" borderId="0" xfId="2" applyNumberFormat="1" applyFont="1" applyAlignment="1" applyProtection="1"/>
    <xf numFmtId="164" fontId="24" fillId="0" borderId="69" xfId="0" applyNumberFormat="1" applyFont="1" applyBorder="1" applyAlignment="1" applyProtection="1"/>
    <xf numFmtId="164" fontId="31" fillId="0" borderId="16" xfId="0" applyNumberFormat="1" applyFont="1" applyBorder="1" applyAlignment="1" applyProtection="1"/>
    <xf numFmtId="170" fontId="24" fillId="0" borderId="0" xfId="2" applyNumberFormat="1" applyFont="1" applyAlignment="1" applyProtection="1"/>
    <xf numFmtId="170" fontId="31" fillId="0" borderId="0" xfId="2" applyNumberFormat="1" applyFont="1" applyBorder="1" applyAlignment="1" applyProtection="1"/>
    <xf numFmtId="164" fontId="31" fillId="0" borderId="45" xfId="2" applyNumberFormat="1" applyFont="1" applyBorder="1" applyAlignment="1" applyProtection="1"/>
    <xf numFmtId="172" fontId="24" fillId="0" borderId="0" xfId="2" applyNumberFormat="1" applyFont="1" applyAlignment="1" applyProtection="1"/>
    <xf numFmtId="164" fontId="31" fillId="0" borderId="0" xfId="2" applyNumberFormat="1" applyFont="1" applyBorder="1" applyAlignment="1" applyProtection="1"/>
    <xf numFmtId="164" fontId="24" fillId="0" borderId="19" xfId="2" applyNumberFormat="1" applyFont="1" applyBorder="1" applyAlignment="1" applyProtection="1"/>
    <xf numFmtId="164" fontId="24" fillId="0" borderId="0" xfId="2" applyNumberFormat="1" applyFont="1" applyBorder="1" applyAlignment="1" applyProtection="1"/>
    <xf numFmtId="172" fontId="31" fillId="0" borderId="10" xfId="2" applyNumberFormat="1" applyFont="1" applyBorder="1" applyAlignment="1" applyProtection="1"/>
    <xf numFmtId="164" fontId="31" fillId="0" borderId="17" xfId="2" applyNumberFormat="1" applyFont="1" applyBorder="1" applyAlignment="1" applyProtection="1"/>
    <xf numFmtId="164" fontId="24" fillId="0" borderId="0" xfId="2" applyNumberFormat="1" applyFont="1" applyFill="1" applyBorder="1" applyAlignment="1" applyProtection="1"/>
    <xf numFmtId="164" fontId="29" fillId="0" borderId="0" xfId="2" applyNumberFormat="1" applyFont="1" applyAlignment="1" applyProtection="1"/>
    <xf numFmtId="164" fontId="31" fillId="0" borderId="16" xfId="2" applyNumberFormat="1" applyFont="1" applyBorder="1" applyAlignment="1" applyProtection="1">
      <alignment horizontal="right"/>
    </xf>
    <xf numFmtId="164" fontId="24" fillId="0" borderId="69" xfId="2" applyNumberFormat="1" applyFont="1" applyBorder="1" applyAlignment="1" applyProtection="1">
      <alignment horizontal="right"/>
    </xf>
    <xf numFmtId="164" fontId="24" fillId="0" borderId="0" xfId="2" applyNumberFormat="1" applyFont="1" applyBorder="1" applyAlignment="1" applyProtection="1">
      <alignment horizontal="right"/>
    </xf>
    <xf numFmtId="164" fontId="31" fillId="0" borderId="69" xfId="2" applyNumberFormat="1" applyFont="1" applyBorder="1" applyAlignment="1" applyProtection="1">
      <alignment horizontal="right"/>
    </xf>
    <xf numFmtId="164" fontId="24" fillId="0" borderId="0" xfId="2" applyNumberFormat="1" applyFont="1" applyAlignment="1" applyProtection="1">
      <alignment horizontal="right"/>
    </xf>
    <xf numFmtId="164" fontId="31" fillId="0" borderId="10" xfId="2" applyNumberFormat="1" applyFont="1" applyBorder="1" applyAlignment="1" applyProtection="1">
      <alignment horizontal="right"/>
    </xf>
    <xf numFmtId="164" fontId="24" fillId="0" borderId="19" xfId="2" applyNumberFormat="1" applyFont="1" applyBorder="1" applyAlignment="1" applyProtection="1">
      <alignment horizontal="right"/>
    </xf>
    <xf numFmtId="164" fontId="31" fillId="0" borderId="10" xfId="2" applyNumberFormat="1" applyFont="1" applyBorder="1" applyProtection="1"/>
    <xf numFmtId="164" fontId="31" fillId="0" borderId="17" xfId="2" applyNumberFormat="1" applyFont="1" applyBorder="1" applyProtection="1"/>
    <xf numFmtId="0" fontId="26" fillId="0" borderId="0" xfId="4" applyFont="1" applyFill="1" applyProtection="1"/>
    <xf numFmtId="164" fontId="31" fillId="0" borderId="45" xfId="0" applyNumberFormat="1" applyFont="1" applyBorder="1" applyAlignment="1" applyProtection="1"/>
    <xf numFmtId="0" fontId="26" fillId="0" borderId="0" xfId="4" applyFont="1" applyFill="1" applyBorder="1" applyProtection="1"/>
    <xf numFmtId="164" fontId="31" fillId="0" borderId="69" xfId="0" applyNumberFormat="1" applyFont="1" applyBorder="1" applyAlignment="1" applyProtection="1"/>
    <xf numFmtId="164" fontId="26" fillId="0" borderId="0" xfId="4" applyNumberFormat="1" applyFont="1" applyFill="1" applyProtection="1"/>
    <xf numFmtId="170" fontId="26" fillId="0" borderId="0" xfId="2" applyNumberFormat="1" applyFont="1" applyAlignment="1" applyProtection="1"/>
    <xf numFmtId="175" fontId="26" fillId="0" borderId="0" xfId="4" applyNumberFormat="1" applyFont="1" applyFill="1" applyProtection="1"/>
    <xf numFmtId="170" fontId="31" fillId="0" borderId="45" xfId="2" applyNumberFormat="1" applyFont="1" applyFill="1" applyBorder="1" applyAlignment="1" applyProtection="1"/>
    <xf numFmtId="170" fontId="31" fillId="0" borderId="0" xfId="2" applyNumberFormat="1" applyFont="1" applyAlignment="1" applyProtection="1"/>
    <xf numFmtId="170" fontId="31" fillId="0" borderId="0" xfId="2" applyNumberFormat="1" applyFont="1" applyFill="1" applyBorder="1" applyAlignment="1" applyProtection="1"/>
    <xf numFmtId="166" fontId="26" fillId="0" borderId="0" xfId="2" applyNumberFormat="1" applyFont="1" applyAlignment="1" applyProtection="1"/>
    <xf numFmtId="0" fontId="0" fillId="0" borderId="0" xfId="2" applyFont="1" applyBorder="1" applyProtection="1"/>
    <xf numFmtId="172" fontId="26" fillId="0" borderId="0" xfId="0" applyNumberFormat="1" applyFont="1" applyBorder="1" applyAlignment="1" applyProtection="1"/>
    <xf numFmtId="164" fontId="0" fillId="0" borderId="0" xfId="2" applyNumberFormat="1" applyFont="1" applyBorder="1" applyProtection="1"/>
    <xf numFmtId="172" fontId="31" fillId="0" borderId="69" xfId="0" applyNumberFormat="1" applyFont="1" applyBorder="1" applyAlignment="1" applyProtection="1"/>
    <xf numFmtId="164" fontId="0" fillId="0" borderId="19" xfId="2" applyNumberFormat="1" applyFont="1" applyBorder="1" applyAlignment="1" applyProtection="1">
      <alignment horizontal="center"/>
    </xf>
    <xf numFmtId="166" fontId="26" fillId="0" borderId="20" xfId="2" applyNumberFormat="1" applyFont="1" applyBorder="1" applyAlignment="1" applyProtection="1"/>
    <xf numFmtId="164" fontId="49" fillId="0" borderId="69" xfId="0" applyNumberFormat="1" applyFont="1" applyBorder="1" applyAlignment="1" applyProtection="1"/>
    <xf numFmtId="0" fontId="170" fillId="0" borderId="0" xfId="2" applyNumberFormat="1" applyFont="1" applyAlignment="1" applyProtection="1"/>
    <xf numFmtId="164" fontId="54" fillId="0" borderId="69" xfId="0" applyNumberFormat="1" applyFont="1" applyBorder="1" applyAlignment="1" applyProtection="1"/>
    <xf numFmtId="0" fontId="31" fillId="0" borderId="0" xfId="1776" applyNumberFormat="1" applyFont="1" applyAlignment="1">
      <alignment horizontal="center"/>
    </xf>
    <xf numFmtId="0" fontId="24" fillId="0" borderId="0" xfId="1028" quotePrefix="1" applyNumberFormat="1" applyFont="1" applyAlignment="1">
      <alignment horizontal="center"/>
    </xf>
    <xf numFmtId="0" fontId="24" fillId="0" borderId="0" xfId="1028" quotePrefix="1" applyNumberFormat="1" applyFont="1" applyFill="1" applyBorder="1" applyAlignment="1">
      <alignment horizontal="center"/>
    </xf>
    <xf numFmtId="0" fontId="24" fillId="0" borderId="0" xfId="1028" quotePrefix="1" applyNumberFormat="1" applyFont="1" applyFill="1" applyAlignment="1">
      <alignment horizontal="center"/>
    </xf>
    <xf numFmtId="43" fontId="31" fillId="0" borderId="35" xfId="1028" applyNumberFormat="1" applyFont="1" applyBorder="1" applyAlignment="1" applyProtection="1">
      <alignment horizontal="right"/>
    </xf>
    <xf numFmtId="43" fontId="31" fillId="0" borderId="0" xfId="1028" applyNumberFormat="1" applyFont="1" applyBorder="1" applyAlignment="1" applyProtection="1">
      <alignment horizontal="right"/>
    </xf>
    <xf numFmtId="43" fontId="31" fillId="0" borderId="0" xfId="0" applyNumberFormat="1" applyFont="1" applyBorder="1" applyAlignment="1" applyProtection="1">
      <alignment horizontal="right"/>
    </xf>
    <xf numFmtId="44" fontId="31" fillId="0" borderId="35" xfId="1767" applyNumberFormat="1" applyFont="1" applyFill="1" applyBorder="1" applyAlignment="1" applyProtection="1">
      <alignment horizontal="right"/>
    </xf>
    <xf numFmtId="0" fontId="89" fillId="0" borderId="0" xfId="0" applyNumberFormat="1" applyFont="1" applyProtection="1"/>
    <xf numFmtId="0" fontId="54" fillId="0" borderId="0" xfId="2" applyNumberFormat="1" applyFont="1" applyFill="1" applyAlignment="1" applyProtection="1">
      <alignment horizontal="left"/>
    </xf>
    <xf numFmtId="0" fontId="54" fillId="0" borderId="0" xfId="2" quotePrefix="1" applyNumberFormat="1" applyFont="1" applyFill="1" applyAlignment="1" applyProtection="1">
      <alignment horizontal="left"/>
    </xf>
    <xf numFmtId="41" fontId="24" fillId="0" borderId="0" xfId="739" applyNumberFormat="1" applyFont="1" applyBorder="1" applyAlignment="1" applyProtection="1"/>
    <xf numFmtId="0" fontId="31" fillId="0" borderId="0" xfId="2" applyNumberFormat="1" applyFont="1" applyAlignment="1">
      <alignment horizontal="left"/>
    </xf>
    <xf numFmtId="0" fontId="31" fillId="0" borderId="10" xfId="2" quotePrefix="1" applyNumberFormat="1" applyFont="1" applyBorder="1" applyAlignment="1">
      <alignment horizontal="center"/>
    </xf>
    <xf numFmtId="170" fontId="24" fillId="0" borderId="0" xfId="4" applyNumberFormat="1" applyFont="1" applyFill="1" applyAlignment="1">
      <alignment horizontal="right"/>
    </xf>
    <xf numFmtId="192" fontId="178" fillId="0" borderId="0" xfId="8" quotePrefix="1" applyNumberFormat="1" applyFont="1" applyAlignment="1">
      <alignment horizontal="right"/>
    </xf>
    <xf numFmtId="0" fontId="178" fillId="0" borderId="0" xfId="8" applyFont="1"/>
    <xf numFmtId="166" fontId="36" fillId="0" borderId="0" xfId="8" quotePrefix="1" applyNumberFormat="1" applyFont="1" applyAlignment="1"/>
    <xf numFmtId="192" fontId="36" fillId="0" borderId="0" xfId="8" applyNumberFormat="1" applyFont="1" applyAlignment="1">
      <alignment horizontal="right"/>
    </xf>
    <xf numFmtId="0" fontId="133" fillId="0" borderId="0" xfId="8" quotePrefix="1" applyNumberFormat="1" applyFont="1" applyAlignment="1"/>
    <xf numFmtId="170" fontId="36" fillId="0" borderId="0" xfId="8" applyNumberFormat="1" applyFont="1" applyFill="1" applyAlignment="1">
      <alignment horizontal="right"/>
    </xf>
    <xf numFmtId="0" fontId="54" fillId="0" borderId="0" xfId="1776" applyNumberFormat="1" applyFont="1" applyAlignment="1">
      <alignment horizontal="left"/>
    </xf>
    <xf numFmtId="172" fontId="31" fillId="0" borderId="35" xfId="2" applyNumberFormat="1" applyFont="1" applyBorder="1" applyAlignment="1"/>
    <xf numFmtId="165" fontId="0" fillId="0" borderId="0" xfId="2" quotePrefix="1" applyNumberFormat="1" applyFont="1" applyAlignment="1">
      <alignment horizontal="left"/>
    </xf>
    <xf numFmtId="166" fontId="24" fillId="0" borderId="0" xfId="0" quotePrefix="1" applyNumberFormat="1" applyFont="1" applyBorder="1" applyAlignment="1" applyProtection="1">
      <alignment horizontal="center"/>
    </xf>
    <xf numFmtId="0" fontId="54" fillId="0" borderId="0" xfId="1776" applyNumberFormat="1" applyFont="1" applyAlignment="1">
      <alignment horizontal="left"/>
    </xf>
    <xf numFmtId="41" fontId="164" fillId="0" borderId="0" xfId="0" applyNumberFormat="1" applyFont="1" applyAlignment="1">
      <alignment horizontal="right"/>
    </xf>
    <xf numFmtId="41" fontId="30" fillId="0" borderId="0" xfId="1773" applyNumberFormat="1" applyFont="1" applyFill="1" applyAlignment="1">
      <alignment horizontal="right"/>
    </xf>
    <xf numFmtId="41" fontId="29" fillId="0" borderId="0" xfId="1773" applyNumberFormat="1" applyFont="1" applyFill="1" applyAlignment="1">
      <alignment horizontal="right"/>
    </xf>
    <xf numFmtId="41" fontId="30" fillId="0" borderId="69" xfId="5459" applyNumberFormat="1" applyFont="1" applyFill="1" applyBorder="1" applyAlignment="1">
      <alignment horizontal="center" wrapText="1"/>
    </xf>
    <xf numFmtId="41" fontId="30" fillId="0" borderId="69" xfId="0" applyNumberFormat="1" applyFont="1" applyFill="1" applyBorder="1" applyAlignment="1">
      <alignment horizontal="center" wrapText="1"/>
    </xf>
    <xf numFmtId="41" fontId="29" fillId="0" borderId="0" xfId="0" quotePrefix="1" applyNumberFormat="1" applyFont="1" applyFill="1" applyAlignment="1">
      <alignment horizontal="center"/>
    </xf>
    <xf numFmtId="41" fontId="98" fillId="0" borderId="19" xfId="0" applyNumberFormat="1" applyFont="1" applyFill="1" applyBorder="1" applyAlignment="1">
      <alignment horizontal="right"/>
    </xf>
    <xf numFmtId="41" fontId="29" fillId="0" borderId="0" xfId="0" quotePrefix="1" applyNumberFormat="1" applyFont="1" applyFill="1" applyAlignment="1">
      <alignment horizontal="right"/>
    </xf>
    <xf numFmtId="41" fontId="164" fillId="0" borderId="0" xfId="0" quotePrefix="1" applyNumberFormat="1" applyFont="1" applyFill="1" applyAlignment="1">
      <alignment horizontal="center"/>
    </xf>
    <xf numFmtId="41" fontId="164" fillId="0" borderId="0" xfId="0" quotePrefix="1" applyNumberFormat="1" applyFont="1" applyFill="1" applyAlignment="1">
      <alignment horizontal="right"/>
    </xf>
    <xf numFmtId="41" fontId="164" fillId="0" borderId="0" xfId="0" applyNumberFormat="1" applyFont="1" applyFill="1" applyBorder="1" applyAlignment="1">
      <alignment horizontal="right" vertical="top"/>
    </xf>
    <xf numFmtId="39" fontId="180" fillId="0" borderId="69" xfId="1776" applyNumberFormat="1" applyFont="1" applyFill="1" applyBorder="1" applyAlignment="1">
      <alignment horizontal="center"/>
    </xf>
    <xf numFmtId="39" fontId="180" fillId="0" borderId="0" xfId="1776" applyNumberFormat="1" applyFont="1" applyFill="1"/>
    <xf numFmtId="43" fontId="104" fillId="0" borderId="0" xfId="831" applyNumberFormat="1" applyFont="1" applyFill="1" applyBorder="1" applyAlignment="1">
      <alignment horizontal="right" vertical="top"/>
    </xf>
    <xf numFmtId="43" fontId="102" fillId="0" borderId="0" xfId="1773" applyNumberFormat="1" applyFont="1" applyFill="1" applyBorder="1" applyAlignment="1">
      <alignment vertical="top"/>
    </xf>
    <xf numFmtId="43" fontId="102" fillId="0" borderId="0" xfId="831" applyNumberFormat="1" applyFont="1" applyFill="1" applyAlignment="1"/>
    <xf numFmtId="166" fontId="25" fillId="0" borderId="0" xfId="0" applyNumberFormat="1" applyFont="1" applyBorder="1" applyAlignment="1" applyProtection="1">
      <alignment horizontal="left"/>
      <protection locked="0"/>
    </xf>
    <xf numFmtId="164" fontId="26" fillId="0" borderId="0" xfId="0" applyFont="1" applyBorder="1" applyAlignment="1" applyProtection="1">
      <alignment horizontal="left"/>
      <protection locked="0"/>
    </xf>
    <xf numFmtId="164" fontId="28" fillId="0" borderId="0" xfId="0" applyFont="1" applyBorder="1" applyAlignment="1" applyProtection="1">
      <alignment horizontal="left"/>
      <protection locked="0"/>
    </xf>
    <xf numFmtId="166" fontId="31" fillId="0" borderId="11" xfId="0" applyNumberFormat="1" applyFont="1" applyBorder="1" applyAlignment="1" applyProtection="1">
      <alignment horizontal="left"/>
      <protection locked="0"/>
    </xf>
    <xf numFmtId="164" fontId="24" fillId="0" borderId="10" xfId="0" applyFont="1" applyBorder="1" applyAlignment="1" applyProtection="1">
      <alignment horizontal="left"/>
      <protection locked="0"/>
    </xf>
    <xf numFmtId="164" fontId="24" fillId="0" borderId="12" xfId="0" applyFont="1" applyBorder="1" applyAlignment="1" applyProtection="1">
      <alignment horizontal="left"/>
      <protection locked="0"/>
    </xf>
    <xf numFmtId="166" fontId="31" fillId="0" borderId="0" xfId="0" applyNumberFormat="1" applyFont="1" applyFill="1" applyBorder="1" applyAlignment="1">
      <alignment horizontal="center"/>
    </xf>
    <xf numFmtId="166" fontId="31" fillId="0" borderId="0" xfId="0" applyNumberFormat="1" applyFont="1" applyBorder="1" applyAlignment="1">
      <alignment horizontal="center"/>
    </xf>
    <xf numFmtId="164" fontId="26" fillId="0" borderId="0" xfId="0" applyFont="1" applyBorder="1" applyAlignment="1">
      <alignment horizontal="center"/>
    </xf>
    <xf numFmtId="166" fontId="31" fillId="0" borderId="10" xfId="0" applyNumberFormat="1" applyFont="1" applyBorder="1" applyAlignment="1">
      <alignment horizontal="center"/>
    </xf>
    <xf numFmtId="39" fontId="25" fillId="0" borderId="0" xfId="0" applyNumberFormat="1" applyFont="1" applyFill="1" applyBorder="1" applyAlignment="1">
      <alignment horizontal="left"/>
    </xf>
    <xf numFmtId="164" fontId="28" fillId="0" borderId="0" xfId="0" applyFont="1" applyFill="1" applyBorder="1" applyAlignment="1">
      <alignment horizontal="left"/>
    </xf>
    <xf numFmtId="166" fontId="25" fillId="0" borderId="0" xfId="0" applyNumberFormat="1" applyFont="1" applyFill="1" applyBorder="1" applyAlignment="1">
      <alignment horizontal="left"/>
    </xf>
    <xf numFmtId="0" fontId="31" fillId="0" borderId="0" xfId="2" applyNumberFormat="1" applyFont="1" applyAlignment="1">
      <alignment horizontal="right"/>
    </xf>
    <xf numFmtId="0" fontId="31" fillId="0" borderId="0" xfId="2" applyNumberFormat="1" applyFont="1" applyAlignment="1">
      <alignment horizontal="left"/>
    </xf>
    <xf numFmtId="0" fontId="31" fillId="0" borderId="69" xfId="2" applyNumberFormat="1" applyFont="1" applyBorder="1" applyAlignment="1">
      <alignment horizontal="center"/>
    </xf>
    <xf numFmtId="0" fontId="54" fillId="0" borderId="0" xfId="2" applyNumberFormat="1" applyFont="1" applyFill="1" applyAlignment="1" applyProtection="1">
      <alignment vertical="justify"/>
      <protection locked="0"/>
    </xf>
    <xf numFmtId="0" fontId="0" fillId="0" borderId="0" xfId="2" applyFont="1" applyFill="1" applyBorder="1" applyAlignment="1"/>
    <xf numFmtId="0" fontId="31" fillId="33" borderId="69" xfId="2" applyFont="1" applyFill="1" applyBorder="1" applyAlignment="1">
      <alignment horizontal="center"/>
    </xf>
    <xf numFmtId="0" fontId="31" fillId="0" borderId="69" xfId="2" applyFont="1" applyFill="1" applyBorder="1" applyAlignment="1">
      <alignment horizontal="center"/>
    </xf>
    <xf numFmtId="166" fontId="62" fillId="35" borderId="0" xfId="2" applyNumberFormat="1" applyFont="1" applyFill="1" applyAlignment="1">
      <alignment horizontal="right"/>
    </xf>
    <xf numFmtId="0" fontId="26" fillId="35" borderId="0" xfId="2" applyFont="1" applyFill="1" applyBorder="1" applyAlignment="1"/>
    <xf numFmtId="166" fontId="31" fillId="0" borderId="10" xfId="2" applyNumberFormat="1" applyFont="1" applyBorder="1" applyAlignment="1" applyProtection="1">
      <alignment horizontal="left"/>
      <protection locked="0"/>
    </xf>
    <xf numFmtId="0" fontId="24" fillId="35" borderId="0" xfId="2" applyFont="1" applyFill="1" applyBorder="1" applyAlignment="1"/>
    <xf numFmtId="166" fontId="31" fillId="0" borderId="69" xfId="2" applyNumberFormat="1" applyFont="1" applyBorder="1" applyAlignment="1" applyProtection="1">
      <alignment horizontal="left"/>
      <protection locked="0"/>
    </xf>
    <xf numFmtId="0" fontId="31" fillId="0" borderId="10" xfId="2" quotePrefix="1" applyNumberFormat="1" applyFont="1" applyBorder="1" applyAlignment="1">
      <alignment horizontal="center"/>
    </xf>
    <xf numFmtId="0" fontId="31" fillId="0" borderId="10" xfId="2" applyNumberFormat="1" applyFont="1" applyBorder="1" applyAlignment="1">
      <alignment horizontal="center"/>
    </xf>
    <xf numFmtId="0" fontId="26" fillId="0" borderId="10" xfId="2" applyFont="1" applyBorder="1" applyAlignment="1">
      <alignment horizontal="center"/>
    </xf>
    <xf numFmtId="175" fontId="30" fillId="0" borderId="0" xfId="4" quotePrefix="1" applyNumberFormat="1" applyFont="1" applyFill="1" applyAlignment="1">
      <alignment horizontal="right"/>
    </xf>
    <xf numFmtId="0" fontId="73" fillId="0" borderId="0" xfId="4" applyFill="1" applyAlignment="1"/>
    <xf numFmtId="175" fontId="31" fillId="0" borderId="10" xfId="4" quotePrefix="1" applyNumberFormat="1" applyFont="1" applyFill="1" applyBorder="1" applyAlignment="1">
      <alignment horizontal="center"/>
    </xf>
    <xf numFmtId="175" fontId="31" fillId="0" borderId="10" xfId="4" applyNumberFormat="1" applyFont="1" applyFill="1" applyBorder="1" applyAlignment="1">
      <alignment horizontal="center"/>
    </xf>
    <xf numFmtId="0" fontId="0" fillId="0" borderId="10" xfId="2" applyFont="1" applyBorder="1" applyAlignment="1"/>
    <xf numFmtId="166" fontId="54" fillId="0" borderId="69" xfId="2" applyNumberFormat="1" applyFont="1" applyBorder="1" applyAlignment="1" applyProtection="1">
      <alignment horizontal="center"/>
      <protection locked="0"/>
    </xf>
    <xf numFmtId="165" fontId="54" fillId="0" borderId="69" xfId="2" applyNumberFormat="1" applyFont="1" applyBorder="1" applyAlignment="1" applyProtection="1">
      <alignment horizontal="center"/>
      <protection locked="0"/>
    </xf>
    <xf numFmtId="0" fontId="54" fillId="0" borderId="0" xfId="2" quotePrefix="1" applyNumberFormat="1" applyFont="1" applyBorder="1" applyAlignment="1">
      <alignment horizontal="center"/>
    </xf>
    <xf numFmtId="0" fontId="49" fillId="0" borderId="0" xfId="2" applyFont="1" applyBorder="1" applyAlignment="1">
      <alignment horizontal="center"/>
    </xf>
    <xf numFmtId="0" fontId="54" fillId="0" borderId="69"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9" xfId="2" quotePrefix="1" applyNumberFormat="1" applyFont="1" applyBorder="1" applyAlignment="1">
      <alignment horizontal="center"/>
    </xf>
    <xf numFmtId="182" fontId="29" fillId="0" borderId="0" xfId="836" quotePrefix="1" applyNumberFormat="1" applyFont="1" applyAlignment="1">
      <alignment horizontal="justify" vertical="top"/>
    </xf>
    <xf numFmtId="0" fontId="26" fillId="0" borderId="0" xfId="836" applyAlignment="1">
      <alignment horizontal="justify"/>
    </xf>
    <xf numFmtId="182" fontId="29" fillId="0" borderId="0" xfId="836" quotePrefix="1" applyNumberFormat="1" applyFont="1" applyAlignment="1">
      <alignment horizontal="justify" vertical="top" wrapText="1"/>
    </xf>
    <xf numFmtId="0" fontId="26" fillId="0" borderId="0" xfId="836" applyFont="1" applyBorder="1" applyAlignment="1">
      <alignment horizontal="justify"/>
    </xf>
    <xf numFmtId="182" fontId="29" fillId="0" borderId="0" xfId="836" quotePrefix="1" applyNumberFormat="1" applyFont="1" applyAlignment="1">
      <alignment horizontal="left" vertical="distributed" wrapText="1"/>
    </xf>
    <xf numFmtId="0" fontId="26" fillId="0" borderId="0" xfId="836" applyBorder="1" applyAlignment="1"/>
    <xf numFmtId="182" fontId="29" fillId="0" borderId="0" xfId="836" applyNumberFormat="1" applyFont="1" applyBorder="1" applyAlignment="1">
      <alignment horizontal="left" vertical="top" wrapText="1"/>
    </xf>
    <xf numFmtId="0" fontId="31" fillId="0" borderId="0" xfId="17" applyNumberFormat="1" applyFont="1" applyAlignment="1">
      <alignment horizontal="left"/>
    </xf>
    <xf numFmtId="0" fontId="24" fillId="0" borderId="0" xfId="17" applyNumberFormat="1" applyFont="1" applyAlignment="1" applyProtection="1">
      <alignment horizontal="left"/>
      <protection locked="0"/>
    </xf>
    <xf numFmtId="0" fontId="31" fillId="0" borderId="0" xfId="17" applyNumberFormat="1" applyFont="1" applyAlignment="1" applyProtection="1">
      <alignment horizontal="left"/>
      <protection locked="0"/>
    </xf>
    <xf numFmtId="0" fontId="24" fillId="0" borderId="0" xfId="17" applyNumberFormat="1" applyFont="1" applyAlignment="1">
      <alignment horizontal="justify" wrapText="1"/>
    </xf>
    <xf numFmtId="164" fontId="24" fillId="0" borderId="0" xfId="0" applyFont="1" applyAlignment="1">
      <alignment horizontal="justify" wrapText="1"/>
    </xf>
    <xf numFmtId="0" fontId="54" fillId="0" borderId="0" xfId="1776" applyNumberFormat="1" applyFont="1" applyAlignment="1">
      <alignment horizontal="left"/>
    </xf>
    <xf numFmtId="0" fontId="54" fillId="0" borderId="0" xfId="1776" quotePrefix="1" applyNumberFormat="1" applyFont="1" applyAlignment="1">
      <alignment horizontal="left"/>
    </xf>
    <xf numFmtId="0" fontId="54" fillId="0" borderId="0" xfId="1776" quotePrefix="1" applyNumberFormat="1" applyFont="1" applyAlignment="1">
      <alignment horizontal="center"/>
    </xf>
    <xf numFmtId="0" fontId="54" fillId="0" borderId="0" xfId="1776" applyNumberFormat="1" applyFont="1" applyFill="1" applyAlignment="1">
      <alignment horizontal="left"/>
    </xf>
    <xf numFmtId="0" fontId="49" fillId="0" borderId="0" xfId="1776" applyFont="1" applyFill="1" applyBorder="1" applyAlignment="1">
      <alignment horizontal="left"/>
    </xf>
    <xf numFmtId="0" fontId="31" fillId="0" borderId="0" xfId="1776" quotePrefix="1" applyNumberFormat="1" applyFont="1" applyFill="1" applyAlignment="1">
      <alignment horizontal="center"/>
    </xf>
    <xf numFmtId="0" fontId="24" fillId="0" borderId="0" xfId="1776" applyFont="1" applyFill="1" applyBorder="1" applyAlignment="1">
      <alignment horizontal="center"/>
    </xf>
    <xf numFmtId="0" fontId="28" fillId="0" borderId="53" xfId="739" applyFont="1" applyBorder="1" applyAlignment="1">
      <alignment horizontal="justify" wrapText="1"/>
    </xf>
    <xf numFmtId="164" fontId="28" fillId="0" borderId="54" xfId="0" applyFont="1" applyBorder="1" applyAlignment="1">
      <alignment horizontal="justify" wrapText="1"/>
    </xf>
    <xf numFmtId="164" fontId="28" fillId="0" borderId="55" xfId="0" applyFont="1" applyBorder="1" applyAlignment="1">
      <alignment horizontal="justify" wrapText="1"/>
    </xf>
    <xf numFmtId="164" fontId="28" fillId="0" borderId="56" xfId="0" applyFont="1" applyBorder="1" applyAlignment="1">
      <alignment horizontal="justify" wrapText="1"/>
    </xf>
    <xf numFmtId="164" fontId="28" fillId="0" borderId="0" xfId="0" applyFont="1" applyAlignment="1">
      <alignment horizontal="justify" wrapText="1"/>
    </xf>
    <xf numFmtId="164" fontId="28" fillId="0" borderId="44" xfId="0" applyFont="1" applyBorder="1" applyAlignment="1">
      <alignment horizontal="justify" wrapText="1"/>
    </xf>
    <xf numFmtId="164" fontId="28" fillId="0" borderId="57" xfId="0" applyFont="1" applyBorder="1" applyAlignment="1">
      <alignment horizontal="justify" wrapText="1"/>
    </xf>
    <xf numFmtId="164" fontId="28" fillId="0" borderId="52" xfId="0" applyFont="1" applyBorder="1" applyAlignment="1">
      <alignment horizontal="justify" wrapText="1"/>
    </xf>
    <xf numFmtId="164" fontId="28" fillId="0" borderId="58" xfId="0" applyFont="1" applyBorder="1" applyAlignment="1">
      <alignment horizontal="justify" wrapText="1"/>
    </xf>
  </cellXfs>
  <cellStyles count="5460">
    <cellStyle name="20% - Accent1 10" xfId="25"/>
    <cellStyle name="20% - Accent1 10 2" xfId="26"/>
    <cellStyle name="20% - Accent1 10 2 2" xfId="27"/>
    <cellStyle name="20% - Accent1 10 2 2 2" xfId="1055"/>
    <cellStyle name="20% - Accent1 10 2 2 2 2" xfId="4585"/>
    <cellStyle name="20% - Accent1 10 2 2 2_Exh G" xfId="1944"/>
    <cellStyle name="20% - Accent1 10 2 2 3" xfId="3706"/>
    <cellStyle name="20% - Accent1 10 2 2_Exh G" xfId="1943"/>
    <cellStyle name="20% - Accent1 10 2 3" xfId="1054"/>
    <cellStyle name="20% - Accent1 10 2 3 2" xfId="4584"/>
    <cellStyle name="20% - Accent1 10 2 3_Exh G" xfId="1945"/>
    <cellStyle name="20% - Accent1 10 2 4" xfId="3705"/>
    <cellStyle name="20% - Accent1 10 2_Exh G" xfId="1942"/>
    <cellStyle name="20% - Accent1 10 3" xfId="28"/>
    <cellStyle name="20% - Accent1 10 3 2" xfId="1056"/>
    <cellStyle name="20% - Accent1 10 3 2 2" xfId="4586"/>
    <cellStyle name="20% - Accent1 10 3 2_Exh G" xfId="1947"/>
    <cellStyle name="20% - Accent1 10 3 3" xfId="3707"/>
    <cellStyle name="20% - Accent1 10 3_Exh G" xfId="1946"/>
    <cellStyle name="20% - Accent1 10 4" xfId="862"/>
    <cellStyle name="20% - Accent1 10 5" xfId="1053"/>
    <cellStyle name="20% - Accent1 10 5 2" xfId="4583"/>
    <cellStyle name="20% - Accent1 10 5_Exh G" xfId="1948"/>
    <cellStyle name="20% - Accent1 10 6" xfId="3704"/>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_Exh G" xfId="1952"/>
    <cellStyle name="20% - Accent1 11 2 2 3" xfId="3710"/>
    <cellStyle name="20% - Accent1 11 2 2_Exh G" xfId="1951"/>
    <cellStyle name="20% - Accent1 11 2 3" xfId="1058"/>
    <cellStyle name="20% - Accent1 11 2 3 2" xfId="4588"/>
    <cellStyle name="20% - Accent1 11 2 3_Exh G" xfId="1953"/>
    <cellStyle name="20% - Accent1 11 2 4" xfId="3709"/>
    <cellStyle name="20% - Accent1 11 2_Exh G" xfId="1950"/>
    <cellStyle name="20% - Accent1 11 3" xfId="32"/>
    <cellStyle name="20% - Accent1 11 3 2" xfId="1060"/>
    <cellStyle name="20% - Accent1 11 3 2 2" xfId="4590"/>
    <cellStyle name="20% - Accent1 11 3 2_Exh G" xfId="1955"/>
    <cellStyle name="20% - Accent1 11 3 3" xfId="3711"/>
    <cellStyle name="20% - Accent1 11 3_Exh G" xfId="1954"/>
    <cellStyle name="20% - Accent1 11 4" xfId="1057"/>
    <cellStyle name="20% - Accent1 11 4 2" xfId="4587"/>
    <cellStyle name="20% - Accent1 11 4_Exh G" xfId="1956"/>
    <cellStyle name="20% - Accent1 11 5" xfId="3708"/>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_Exh G" xfId="1960"/>
    <cellStyle name="20% - Accent1 12 2 2 3" xfId="3714"/>
    <cellStyle name="20% - Accent1 12 2 2_Exh G" xfId="1959"/>
    <cellStyle name="20% - Accent1 12 2 3" xfId="1062"/>
    <cellStyle name="20% - Accent1 12 2 3 2" xfId="4592"/>
    <cellStyle name="20% - Accent1 12 2 3_Exh G" xfId="1961"/>
    <cellStyle name="20% - Accent1 12 2 4" xfId="3713"/>
    <cellStyle name="20% - Accent1 12 2_Exh G" xfId="1958"/>
    <cellStyle name="20% - Accent1 12 3" xfId="36"/>
    <cellStyle name="20% - Accent1 12 3 2" xfId="1064"/>
    <cellStyle name="20% - Accent1 12 3 2 2" xfId="4594"/>
    <cellStyle name="20% - Accent1 12 3 2_Exh G" xfId="1963"/>
    <cellStyle name="20% - Accent1 12 3 3" xfId="3715"/>
    <cellStyle name="20% - Accent1 12 3_Exh G" xfId="1962"/>
    <cellStyle name="20% - Accent1 12 4" xfId="1061"/>
    <cellStyle name="20% - Accent1 12 4 2" xfId="4591"/>
    <cellStyle name="20% - Accent1 12 4_Exh G" xfId="1964"/>
    <cellStyle name="20% - Accent1 12 5" xfId="3712"/>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_Exh G" xfId="1968"/>
    <cellStyle name="20% - Accent1 13 2 2 3" xfId="3718"/>
    <cellStyle name="20% - Accent1 13 2 2_Exh G" xfId="1967"/>
    <cellStyle name="20% - Accent1 13 2 3" xfId="1066"/>
    <cellStyle name="20% - Accent1 13 2 3 2" xfId="4596"/>
    <cellStyle name="20% - Accent1 13 2 3_Exh G" xfId="1969"/>
    <cellStyle name="20% - Accent1 13 2 4" xfId="3717"/>
    <cellStyle name="20% - Accent1 13 2_Exh G" xfId="1966"/>
    <cellStyle name="20% - Accent1 13 3" xfId="40"/>
    <cellStyle name="20% - Accent1 13 3 2" xfId="1068"/>
    <cellStyle name="20% - Accent1 13 3 2 2" xfId="4598"/>
    <cellStyle name="20% - Accent1 13 3 2_Exh G" xfId="1971"/>
    <cellStyle name="20% - Accent1 13 3 3" xfId="3719"/>
    <cellStyle name="20% - Accent1 13 3_Exh G" xfId="1970"/>
    <cellStyle name="20% - Accent1 13 4" xfId="1065"/>
    <cellStyle name="20% - Accent1 13 4 2" xfId="4595"/>
    <cellStyle name="20% - Accent1 13 4_Exh G" xfId="1972"/>
    <cellStyle name="20% - Accent1 13 5" xfId="3716"/>
    <cellStyle name="20% - Accent1 13_Exh G" xfId="1965"/>
    <cellStyle name="20% - Accent1 14" xfId="41"/>
    <cellStyle name="20% - Accent1 14 2" xfId="42"/>
    <cellStyle name="20% - Accent1 14 2 2" xfId="1070"/>
    <cellStyle name="20% - Accent1 14 2 2 2" xfId="4600"/>
    <cellStyle name="20% - Accent1 14 2 2_Exh G" xfId="1975"/>
    <cellStyle name="20% - Accent1 14 2 3" xfId="3721"/>
    <cellStyle name="20% - Accent1 14 2_Exh G" xfId="1974"/>
    <cellStyle name="20% - Accent1 14 3" xfId="1069"/>
    <cellStyle name="20% - Accent1 14 3 2" xfId="4599"/>
    <cellStyle name="20% - Accent1 14 3_Exh G" xfId="1976"/>
    <cellStyle name="20% - Accent1 14 4" xfId="3720"/>
    <cellStyle name="20% - Accent1 14_Exh G" xfId="1973"/>
    <cellStyle name="20% - Accent1 15" xfId="43"/>
    <cellStyle name="20% - Accent1 15 2" xfId="1071"/>
    <cellStyle name="20% - Accent1 15 2 2" xfId="4601"/>
    <cellStyle name="20% - Accent1 15 2_Exh G" xfId="1978"/>
    <cellStyle name="20% - Accent1 15 3" xfId="3722"/>
    <cellStyle name="20% - Accent1 15_Exh G" xfId="1977"/>
    <cellStyle name="20% - Accent1 16" xfId="843"/>
    <cellStyle name="20% - Accent1 16 2" xfId="1782"/>
    <cellStyle name="20% - Accent1 16 2 2" xfId="5303"/>
    <cellStyle name="20% - Accent1 16 2_Exh G" xfId="1980"/>
    <cellStyle name="20% - Accent1 16 3" xfId="4424"/>
    <cellStyle name="20% - Accent1 16_Exh G" xfId="1979"/>
    <cellStyle name="20% - Accent1 2" xfId="44"/>
    <cellStyle name="20% - Accent1 2 2" xfId="45"/>
    <cellStyle name="20% - Accent1 2 2 2" xfId="46"/>
    <cellStyle name="20% - Accent1 2 2 2 2" xfId="1074"/>
    <cellStyle name="20% - Accent1 2 2 2 2 2" xfId="4604"/>
    <cellStyle name="20% - Accent1 2 2 2 2_Exh G" xfId="1984"/>
    <cellStyle name="20% - Accent1 2 2 2 3" xfId="3725"/>
    <cellStyle name="20% - Accent1 2 2 2_Exh G" xfId="1983"/>
    <cellStyle name="20% - Accent1 2 2 3" xfId="864"/>
    <cellStyle name="20% - Accent1 2 2 3 2" xfId="1800"/>
    <cellStyle name="20% - Accent1 2 2 3 2 2" xfId="5318"/>
    <cellStyle name="20% - Accent1 2 2 3 2_Exh G" xfId="1986"/>
    <cellStyle name="20% - Accent1 2 2 3 3" xfId="4439"/>
    <cellStyle name="20% - Accent1 2 2 3_Exh G" xfId="1985"/>
    <cellStyle name="20% - Accent1 2 2 4" xfId="1073"/>
    <cellStyle name="20% - Accent1 2 2 4 2" xfId="4603"/>
    <cellStyle name="20% - Accent1 2 2 4_Exh G" xfId="1987"/>
    <cellStyle name="20% - Accent1 2 2 5" xfId="3724"/>
    <cellStyle name="20% - Accent1 2 2_Exh G" xfId="1982"/>
    <cellStyle name="20% - Accent1 2 3" xfId="47"/>
    <cellStyle name="20% - Accent1 2 3 2" xfId="1075"/>
    <cellStyle name="20% - Accent1 2 3 2 2" xfId="4605"/>
    <cellStyle name="20% - Accent1 2 3 2_Exh G" xfId="1989"/>
    <cellStyle name="20% - Accent1 2 3 3" xfId="3726"/>
    <cellStyle name="20% - Accent1 2 3_Exh G" xfId="1988"/>
    <cellStyle name="20% - Accent1 2 4" xfId="863"/>
    <cellStyle name="20% - Accent1 2 4 2" xfId="1799"/>
    <cellStyle name="20% - Accent1 2 4 2 2" xfId="5317"/>
    <cellStyle name="20% - Accent1 2 4 2_Exh G" xfId="1991"/>
    <cellStyle name="20% - Accent1 2 4 3" xfId="4438"/>
    <cellStyle name="20% - Accent1 2 4_Exh G" xfId="1990"/>
    <cellStyle name="20% - Accent1 2 5" xfId="1072"/>
    <cellStyle name="20% - Accent1 2 5 2" xfId="4602"/>
    <cellStyle name="20% - Accent1 2 5_Exh G" xfId="1992"/>
    <cellStyle name="20% - Accent1 2 6" xfId="3723"/>
    <cellStyle name="20% - Accent1 2_Exh G" xfId="1981"/>
    <cellStyle name="20% - Accent1 3" xfId="48"/>
    <cellStyle name="20% - Accent1 3 2" xfId="49"/>
    <cellStyle name="20% - Accent1 3 2 2" xfId="50"/>
    <cellStyle name="20% - Accent1 3 2 2 2" xfId="1078"/>
    <cellStyle name="20% - Accent1 3 2 2 2 2" xfId="4608"/>
    <cellStyle name="20% - Accent1 3 2 2 2_Exh G" xfId="1996"/>
    <cellStyle name="20% - Accent1 3 2 2 3" xfId="3729"/>
    <cellStyle name="20% - Accent1 3 2 2_Exh G" xfId="1995"/>
    <cellStyle name="20% - Accent1 3 2 3" xfId="866"/>
    <cellStyle name="20% - Accent1 3 2 3 2" xfId="1802"/>
    <cellStyle name="20% - Accent1 3 2 3 2 2" xfId="5320"/>
    <cellStyle name="20% - Accent1 3 2 3 2_Exh G" xfId="1998"/>
    <cellStyle name="20% - Accent1 3 2 3 3" xfId="4441"/>
    <cellStyle name="20% - Accent1 3 2 3_Exh G" xfId="1997"/>
    <cellStyle name="20% - Accent1 3 2 4" xfId="1077"/>
    <cellStyle name="20% - Accent1 3 2 4 2" xfId="4607"/>
    <cellStyle name="20% - Accent1 3 2 4_Exh G" xfId="1999"/>
    <cellStyle name="20% - Accent1 3 2 5" xfId="3728"/>
    <cellStyle name="20% - Accent1 3 2_Exh G" xfId="1994"/>
    <cellStyle name="20% - Accent1 3 3" xfId="51"/>
    <cellStyle name="20% - Accent1 3 3 2" xfId="1079"/>
    <cellStyle name="20% - Accent1 3 3 2 2" xfId="4609"/>
    <cellStyle name="20% - Accent1 3 3 2_Exh G" xfId="2001"/>
    <cellStyle name="20% - Accent1 3 3 3" xfId="3730"/>
    <cellStyle name="20% - Accent1 3 3_Exh G" xfId="2000"/>
    <cellStyle name="20% - Accent1 3 4" xfId="865"/>
    <cellStyle name="20% - Accent1 3 4 2" xfId="1801"/>
    <cellStyle name="20% - Accent1 3 4 2 2" xfId="5319"/>
    <cellStyle name="20% - Accent1 3 4 2_Exh G" xfId="2003"/>
    <cellStyle name="20% - Accent1 3 4 3" xfId="4440"/>
    <cellStyle name="20% - Accent1 3 4_Exh G" xfId="2002"/>
    <cellStyle name="20% - Accent1 3 5" xfId="1076"/>
    <cellStyle name="20% - Accent1 3 5 2" xfId="4606"/>
    <cellStyle name="20% - Accent1 3 5_Exh G" xfId="2004"/>
    <cellStyle name="20% - Accent1 3 6" xfId="3727"/>
    <cellStyle name="20% - Accent1 3_Exh G" xfId="1993"/>
    <cellStyle name="20% - Accent1 4" xfId="52"/>
    <cellStyle name="20% - Accent1 4 2" xfId="53"/>
    <cellStyle name="20% - Accent1 4 2 2" xfId="54"/>
    <cellStyle name="20% - Accent1 4 2 2 2" xfId="1082"/>
    <cellStyle name="20% - Accent1 4 2 2 2 2" xfId="4612"/>
    <cellStyle name="20% - Accent1 4 2 2 2_Exh G" xfId="2008"/>
    <cellStyle name="20% - Accent1 4 2 2 3" xfId="3733"/>
    <cellStyle name="20% - Accent1 4 2 2_Exh G" xfId="2007"/>
    <cellStyle name="20% - Accent1 4 2 3" xfId="868"/>
    <cellStyle name="20% - Accent1 4 2 3 2" xfId="1804"/>
    <cellStyle name="20% - Accent1 4 2 3 2 2" xfId="5322"/>
    <cellStyle name="20% - Accent1 4 2 3 2_Exh G" xfId="2010"/>
    <cellStyle name="20% - Accent1 4 2 3 3" xfId="4443"/>
    <cellStyle name="20% - Accent1 4 2 3_Exh G" xfId="2009"/>
    <cellStyle name="20% - Accent1 4 2 4" xfId="1081"/>
    <cellStyle name="20% - Accent1 4 2 4 2" xfId="4611"/>
    <cellStyle name="20% - Accent1 4 2 4_Exh G" xfId="2011"/>
    <cellStyle name="20% - Accent1 4 2 5" xfId="3732"/>
    <cellStyle name="20% - Accent1 4 2_Exh G" xfId="2006"/>
    <cellStyle name="20% - Accent1 4 3" xfId="55"/>
    <cellStyle name="20% - Accent1 4 3 2" xfId="1083"/>
    <cellStyle name="20% - Accent1 4 3 2 2" xfId="4613"/>
    <cellStyle name="20% - Accent1 4 3 2_Exh G" xfId="2013"/>
    <cellStyle name="20% - Accent1 4 3 3" xfId="3734"/>
    <cellStyle name="20% - Accent1 4 3_Exh G" xfId="2012"/>
    <cellStyle name="20% - Accent1 4 4" xfId="867"/>
    <cellStyle name="20% - Accent1 4 4 2" xfId="1803"/>
    <cellStyle name="20% - Accent1 4 4 2 2" xfId="5321"/>
    <cellStyle name="20% - Accent1 4 4 2_Exh G" xfId="2015"/>
    <cellStyle name="20% - Accent1 4 4 3" xfId="4442"/>
    <cellStyle name="20% - Accent1 4 4_Exh G" xfId="2014"/>
    <cellStyle name="20% - Accent1 4 5" xfId="1080"/>
    <cellStyle name="20% - Accent1 4 5 2" xfId="4610"/>
    <cellStyle name="20% - Accent1 4 5_Exh G" xfId="2016"/>
    <cellStyle name="20% - Accent1 4 6" xfId="3731"/>
    <cellStyle name="20% - Accent1 4_Exh G" xfId="2005"/>
    <cellStyle name="20% - Accent1 5" xfId="56"/>
    <cellStyle name="20% - Accent1 5 2" xfId="57"/>
    <cellStyle name="20% - Accent1 5 2 2" xfId="58"/>
    <cellStyle name="20% - Accent1 5 2 2 2" xfId="1086"/>
    <cellStyle name="20% - Accent1 5 2 2 2 2" xfId="4616"/>
    <cellStyle name="20% - Accent1 5 2 2 2_Exh G" xfId="2020"/>
    <cellStyle name="20% - Accent1 5 2 2 3" xfId="3737"/>
    <cellStyle name="20% - Accent1 5 2 2_Exh G" xfId="2019"/>
    <cellStyle name="20% - Accent1 5 2 3" xfId="1085"/>
    <cellStyle name="20% - Accent1 5 2 3 2" xfId="4615"/>
    <cellStyle name="20% - Accent1 5 2 3_Exh G" xfId="2021"/>
    <cellStyle name="20% - Accent1 5 2 4" xfId="3736"/>
    <cellStyle name="20% - Accent1 5 2_Exh G" xfId="2018"/>
    <cellStyle name="20% - Accent1 5 3" xfId="59"/>
    <cellStyle name="20% - Accent1 5 3 2" xfId="1087"/>
    <cellStyle name="20% - Accent1 5 3 2 2" xfId="4617"/>
    <cellStyle name="20% - Accent1 5 3 2_Exh G" xfId="2023"/>
    <cellStyle name="20% - Accent1 5 3 3" xfId="3738"/>
    <cellStyle name="20% - Accent1 5 3_Exh G" xfId="2022"/>
    <cellStyle name="20% - Accent1 5 4" xfId="869"/>
    <cellStyle name="20% - Accent1 5 5" xfId="1084"/>
    <cellStyle name="20% - Accent1 5 5 2" xfId="4614"/>
    <cellStyle name="20% - Accent1 5 5_Exh G" xfId="2024"/>
    <cellStyle name="20% - Accent1 5 6" xfId="3735"/>
    <cellStyle name="20% - Accent1 5_Exh G" xfId="2017"/>
    <cellStyle name="20% - Accent1 6" xfId="60"/>
    <cellStyle name="20% - Accent1 6 2" xfId="61"/>
    <cellStyle name="20% - Accent1 6 2 2" xfId="62"/>
    <cellStyle name="20% - Accent1 6 2 2 2" xfId="1090"/>
    <cellStyle name="20% - Accent1 6 2 2 2 2" xfId="4620"/>
    <cellStyle name="20% - Accent1 6 2 2 2_Exh G" xfId="2028"/>
    <cellStyle name="20% - Accent1 6 2 2 3" xfId="3741"/>
    <cellStyle name="20% - Accent1 6 2 2_Exh G" xfId="2027"/>
    <cellStyle name="20% - Accent1 6 2 3" xfId="1089"/>
    <cellStyle name="20% - Accent1 6 2 3 2" xfId="4619"/>
    <cellStyle name="20% - Accent1 6 2 3_Exh G" xfId="2029"/>
    <cellStyle name="20% - Accent1 6 2 4" xfId="3740"/>
    <cellStyle name="20% - Accent1 6 2_Exh G" xfId="2026"/>
    <cellStyle name="20% - Accent1 6 3" xfId="63"/>
    <cellStyle name="20% - Accent1 6 3 2" xfId="1091"/>
    <cellStyle name="20% - Accent1 6 3 2 2" xfId="4621"/>
    <cellStyle name="20% - Accent1 6 3 2_Exh G" xfId="2031"/>
    <cellStyle name="20% - Accent1 6 3 3" xfId="3742"/>
    <cellStyle name="20% - Accent1 6 3_Exh G" xfId="2030"/>
    <cellStyle name="20% - Accent1 6 4" xfId="870"/>
    <cellStyle name="20% - Accent1 6 4 2" xfId="1805"/>
    <cellStyle name="20% - Accent1 6 4 2 2" xfId="5323"/>
    <cellStyle name="20% - Accent1 6 4 2_Exh G" xfId="2033"/>
    <cellStyle name="20% - Accent1 6 4 3" xfId="4444"/>
    <cellStyle name="20% - Accent1 6 4_Exh G" xfId="2032"/>
    <cellStyle name="20% - Accent1 6 5" xfId="1088"/>
    <cellStyle name="20% - Accent1 6 5 2" xfId="4618"/>
    <cellStyle name="20% - Accent1 6 5_Exh G" xfId="2034"/>
    <cellStyle name="20% - Accent1 6 6" xfId="3739"/>
    <cellStyle name="20% - Accent1 6_Exh G" xfId="2025"/>
    <cellStyle name="20% - Accent1 7" xfId="64"/>
    <cellStyle name="20% - Accent1 7 2" xfId="65"/>
    <cellStyle name="20% - Accent1 7 2 2" xfId="66"/>
    <cellStyle name="20% - Accent1 7 2 2 2" xfId="1094"/>
    <cellStyle name="20% - Accent1 7 2 2 2 2" xfId="4624"/>
    <cellStyle name="20% - Accent1 7 2 2 2_Exh G" xfId="2038"/>
    <cellStyle name="20% - Accent1 7 2 2 3" xfId="3745"/>
    <cellStyle name="20% - Accent1 7 2 2_Exh G" xfId="2037"/>
    <cellStyle name="20% - Accent1 7 2 3" xfId="1093"/>
    <cellStyle name="20% - Accent1 7 2 3 2" xfId="4623"/>
    <cellStyle name="20% - Accent1 7 2 3_Exh G" xfId="2039"/>
    <cellStyle name="20% - Accent1 7 2 4" xfId="3744"/>
    <cellStyle name="20% - Accent1 7 2_Exh G" xfId="2036"/>
    <cellStyle name="20% - Accent1 7 3" xfId="67"/>
    <cellStyle name="20% - Accent1 7 3 2" xfId="1095"/>
    <cellStyle name="20% - Accent1 7 3 2 2" xfId="4625"/>
    <cellStyle name="20% - Accent1 7 3 2_Exh G" xfId="2041"/>
    <cellStyle name="20% - Accent1 7 3 3" xfId="3746"/>
    <cellStyle name="20% - Accent1 7 3_Exh G" xfId="2040"/>
    <cellStyle name="20% - Accent1 7 4" xfId="871"/>
    <cellStyle name="20% - Accent1 7 4 2" xfId="1806"/>
    <cellStyle name="20% - Accent1 7 4 2 2" xfId="5324"/>
    <cellStyle name="20% - Accent1 7 4 2_Exh G" xfId="2043"/>
    <cellStyle name="20% - Accent1 7 4 3" xfId="4445"/>
    <cellStyle name="20% - Accent1 7 4_Exh G" xfId="2042"/>
    <cellStyle name="20% - Accent1 7 5" xfId="1092"/>
    <cellStyle name="20% - Accent1 7 5 2" xfId="4622"/>
    <cellStyle name="20% - Accent1 7 5_Exh G" xfId="2044"/>
    <cellStyle name="20% - Accent1 7 6" xfId="3743"/>
    <cellStyle name="20% - Accent1 7_Exh G" xfId="2035"/>
    <cellStyle name="20% - Accent1 8" xfId="68"/>
    <cellStyle name="20% - Accent1 8 2" xfId="69"/>
    <cellStyle name="20% - Accent1 8 2 2" xfId="70"/>
    <cellStyle name="20% - Accent1 8 2 2 2" xfId="1098"/>
    <cellStyle name="20% - Accent1 8 2 2 2 2" xfId="4628"/>
    <cellStyle name="20% - Accent1 8 2 2 2_Exh G" xfId="2048"/>
    <cellStyle name="20% - Accent1 8 2 2 3" xfId="3749"/>
    <cellStyle name="20% - Accent1 8 2 2_Exh G" xfId="2047"/>
    <cellStyle name="20% - Accent1 8 2 3" xfId="1097"/>
    <cellStyle name="20% - Accent1 8 2 3 2" xfId="4627"/>
    <cellStyle name="20% - Accent1 8 2 3_Exh G" xfId="2049"/>
    <cellStyle name="20% - Accent1 8 2 4" xfId="3748"/>
    <cellStyle name="20% - Accent1 8 2_Exh G" xfId="2046"/>
    <cellStyle name="20% - Accent1 8 3" xfId="71"/>
    <cellStyle name="20% - Accent1 8 3 2" xfId="1099"/>
    <cellStyle name="20% - Accent1 8 3 2 2" xfId="4629"/>
    <cellStyle name="20% - Accent1 8 3 2_Exh G" xfId="2051"/>
    <cellStyle name="20% - Accent1 8 3 3" xfId="3750"/>
    <cellStyle name="20% - Accent1 8 3_Exh G" xfId="2050"/>
    <cellStyle name="20% - Accent1 8 4" xfId="872"/>
    <cellStyle name="20% - Accent1 8 4 2" xfId="1807"/>
    <cellStyle name="20% - Accent1 8 4 2 2" xfId="5325"/>
    <cellStyle name="20% - Accent1 8 4 2_Exh G" xfId="2053"/>
    <cellStyle name="20% - Accent1 8 4 3" xfId="4446"/>
    <cellStyle name="20% - Accent1 8 4_Exh G" xfId="2052"/>
    <cellStyle name="20% - Accent1 8 5" xfId="1096"/>
    <cellStyle name="20% - Accent1 8 5 2" xfId="4626"/>
    <cellStyle name="20% - Accent1 8 5_Exh G" xfId="2054"/>
    <cellStyle name="20% - Accent1 8 6" xfId="3747"/>
    <cellStyle name="20% - Accent1 8_Exh G" xfId="2045"/>
    <cellStyle name="20% - Accent1 9" xfId="72"/>
    <cellStyle name="20% - Accent1 9 2" xfId="73"/>
    <cellStyle name="20% - Accent1 9 2 2" xfId="74"/>
    <cellStyle name="20% - Accent1 9 2 2 2" xfId="1102"/>
    <cellStyle name="20% - Accent1 9 2 2 2 2" xfId="4632"/>
    <cellStyle name="20% - Accent1 9 2 2 2_Exh G" xfId="2058"/>
    <cellStyle name="20% - Accent1 9 2 2 3" xfId="3753"/>
    <cellStyle name="20% - Accent1 9 2 2_Exh G" xfId="2057"/>
    <cellStyle name="20% - Accent1 9 2 3" xfId="1101"/>
    <cellStyle name="20% - Accent1 9 2 3 2" xfId="4631"/>
    <cellStyle name="20% - Accent1 9 2 3_Exh G" xfId="2059"/>
    <cellStyle name="20% - Accent1 9 2 4" xfId="3752"/>
    <cellStyle name="20% - Accent1 9 2_Exh G" xfId="2056"/>
    <cellStyle name="20% - Accent1 9 3" xfId="75"/>
    <cellStyle name="20% - Accent1 9 3 2" xfId="1103"/>
    <cellStyle name="20% - Accent1 9 3 2 2" xfId="4633"/>
    <cellStyle name="20% - Accent1 9 3 2_Exh G" xfId="2061"/>
    <cellStyle name="20% - Accent1 9 3 3" xfId="3754"/>
    <cellStyle name="20% - Accent1 9 3_Exh G" xfId="2060"/>
    <cellStyle name="20% - Accent1 9 4" xfId="873"/>
    <cellStyle name="20% - Accent1 9 4 2" xfId="1808"/>
    <cellStyle name="20% - Accent1 9 4 2 2" xfId="5326"/>
    <cellStyle name="20% - Accent1 9 4 2_Exh G" xfId="2063"/>
    <cellStyle name="20% - Accent1 9 4 3" xfId="4447"/>
    <cellStyle name="20% - Accent1 9 4_Exh G" xfId="2062"/>
    <cellStyle name="20% - Accent1 9 5" xfId="1100"/>
    <cellStyle name="20% - Accent1 9 5 2" xfId="4630"/>
    <cellStyle name="20% - Accent1 9 5_Exh G" xfId="2064"/>
    <cellStyle name="20% - Accent1 9 6" xfId="3751"/>
    <cellStyle name="20% - Accent1 9_Exh G" xfId="2055"/>
    <cellStyle name="20% - Accent2 10" xfId="76"/>
    <cellStyle name="20% - Accent2 10 2" xfId="77"/>
    <cellStyle name="20% - Accent2 10 2 2" xfId="78"/>
    <cellStyle name="20% - Accent2 10 2 2 2" xfId="1106"/>
    <cellStyle name="20% - Accent2 10 2 2 2 2" xfId="4636"/>
    <cellStyle name="20% - Accent2 10 2 2 2_Exh G" xfId="2068"/>
    <cellStyle name="20% - Accent2 10 2 2 3" xfId="3757"/>
    <cellStyle name="20% - Accent2 10 2 2_Exh G" xfId="2067"/>
    <cellStyle name="20% - Accent2 10 2 3" xfId="1105"/>
    <cellStyle name="20% - Accent2 10 2 3 2" xfId="4635"/>
    <cellStyle name="20% - Accent2 10 2 3_Exh G" xfId="2069"/>
    <cellStyle name="20% - Accent2 10 2 4" xfId="3756"/>
    <cellStyle name="20% - Accent2 10 2_Exh G" xfId="2066"/>
    <cellStyle name="20% - Accent2 10 3" xfId="79"/>
    <cellStyle name="20% - Accent2 10 3 2" xfId="1107"/>
    <cellStyle name="20% - Accent2 10 3 2 2" xfId="4637"/>
    <cellStyle name="20% - Accent2 10 3 2_Exh G" xfId="2071"/>
    <cellStyle name="20% - Accent2 10 3 3" xfId="3758"/>
    <cellStyle name="20% - Accent2 10 3_Exh G" xfId="2070"/>
    <cellStyle name="20% - Accent2 10 4" xfId="874"/>
    <cellStyle name="20% - Accent2 10 5" xfId="1104"/>
    <cellStyle name="20% - Accent2 10 5 2" xfId="4634"/>
    <cellStyle name="20% - Accent2 10 5_Exh G" xfId="2072"/>
    <cellStyle name="20% - Accent2 10 6" xfId="3755"/>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_Exh G" xfId="2076"/>
    <cellStyle name="20% - Accent2 11 2 2 3" xfId="3761"/>
    <cellStyle name="20% - Accent2 11 2 2_Exh G" xfId="2075"/>
    <cellStyle name="20% - Accent2 11 2 3" xfId="1109"/>
    <cellStyle name="20% - Accent2 11 2 3 2" xfId="4639"/>
    <cellStyle name="20% - Accent2 11 2 3_Exh G" xfId="2077"/>
    <cellStyle name="20% - Accent2 11 2 4" xfId="3760"/>
    <cellStyle name="20% - Accent2 11 2_Exh G" xfId="2074"/>
    <cellStyle name="20% - Accent2 11 3" xfId="83"/>
    <cellStyle name="20% - Accent2 11 3 2" xfId="1111"/>
    <cellStyle name="20% - Accent2 11 3 2 2" xfId="4641"/>
    <cellStyle name="20% - Accent2 11 3 2_Exh G" xfId="2079"/>
    <cellStyle name="20% - Accent2 11 3 3" xfId="3762"/>
    <cellStyle name="20% - Accent2 11 3_Exh G" xfId="2078"/>
    <cellStyle name="20% - Accent2 11 4" xfId="1108"/>
    <cellStyle name="20% - Accent2 11 4 2" xfId="4638"/>
    <cellStyle name="20% - Accent2 11 4_Exh G" xfId="2080"/>
    <cellStyle name="20% - Accent2 11 5" xfId="3759"/>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_Exh G" xfId="2084"/>
    <cellStyle name="20% - Accent2 12 2 2 3" xfId="3765"/>
    <cellStyle name="20% - Accent2 12 2 2_Exh G" xfId="2083"/>
    <cellStyle name="20% - Accent2 12 2 3" xfId="1113"/>
    <cellStyle name="20% - Accent2 12 2 3 2" xfId="4643"/>
    <cellStyle name="20% - Accent2 12 2 3_Exh G" xfId="2085"/>
    <cellStyle name="20% - Accent2 12 2 4" xfId="3764"/>
    <cellStyle name="20% - Accent2 12 2_Exh G" xfId="2082"/>
    <cellStyle name="20% - Accent2 12 3" xfId="87"/>
    <cellStyle name="20% - Accent2 12 3 2" xfId="1115"/>
    <cellStyle name="20% - Accent2 12 3 2 2" xfId="4645"/>
    <cellStyle name="20% - Accent2 12 3 2_Exh G" xfId="2087"/>
    <cellStyle name="20% - Accent2 12 3 3" xfId="3766"/>
    <cellStyle name="20% - Accent2 12 3_Exh G" xfId="2086"/>
    <cellStyle name="20% - Accent2 12 4" xfId="1112"/>
    <cellStyle name="20% - Accent2 12 4 2" xfId="4642"/>
    <cellStyle name="20% - Accent2 12 4_Exh G" xfId="2088"/>
    <cellStyle name="20% - Accent2 12 5" xfId="3763"/>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_Exh G" xfId="2092"/>
    <cellStyle name="20% - Accent2 13 2 2 3" xfId="3769"/>
    <cellStyle name="20% - Accent2 13 2 2_Exh G" xfId="2091"/>
    <cellStyle name="20% - Accent2 13 2 3" xfId="1117"/>
    <cellStyle name="20% - Accent2 13 2 3 2" xfId="4647"/>
    <cellStyle name="20% - Accent2 13 2 3_Exh G" xfId="2093"/>
    <cellStyle name="20% - Accent2 13 2 4" xfId="3768"/>
    <cellStyle name="20% - Accent2 13 2_Exh G" xfId="2090"/>
    <cellStyle name="20% - Accent2 13 3" xfId="91"/>
    <cellStyle name="20% - Accent2 13 3 2" xfId="1119"/>
    <cellStyle name="20% - Accent2 13 3 2 2" xfId="4649"/>
    <cellStyle name="20% - Accent2 13 3 2_Exh G" xfId="2095"/>
    <cellStyle name="20% - Accent2 13 3 3" xfId="3770"/>
    <cellStyle name="20% - Accent2 13 3_Exh G" xfId="2094"/>
    <cellStyle name="20% - Accent2 13 4" xfId="1116"/>
    <cellStyle name="20% - Accent2 13 4 2" xfId="4646"/>
    <cellStyle name="20% - Accent2 13 4_Exh G" xfId="2096"/>
    <cellStyle name="20% - Accent2 13 5" xfId="3767"/>
    <cellStyle name="20% - Accent2 13_Exh G" xfId="2089"/>
    <cellStyle name="20% - Accent2 14" xfId="92"/>
    <cellStyle name="20% - Accent2 14 2" xfId="93"/>
    <cellStyle name="20% - Accent2 14 2 2" xfId="1121"/>
    <cellStyle name="20% - Accent2 14 2 2 2" xfId="4651"/>
    <cellStyle name="20% - Accent2 14 2 2_Exh G" xfId="2099"/>
    <cellStyle name="20% - Accent2 14 2 3" xfId="3772"/>
    <cellStyle name="20% - Accent2 14 2_Exh G" xfId="2098"/>
    <cellStyle name="20% - Accent2 14 3" xfId="1120"/>
    <cellStyle name="20% - Accent2 14 3 2" xfId="4650"/>
    <cellStyle name="20% - Accent2 14 3_Exh G" xfId="2100"/>
    <cellStyle name="20% - Accent2 14 4" xfId="3771"/>
    <cellStyle name="20% - Accent2 14_Exh G" xfId="2097"/>
    <cellStyle name="20% - Accent2 15" xfId="94"/>
    <cellStyle name="20% - Accent2 15 2" xfId="1122"/>
    <cellStyle name="20% - Accent2 15 2 2" xfId="4652"/>
    <cellStyle name="20% - Accent2 15 2_Exh G" xfId="2102"/>
    <cellStyle name="20% - Accent2 15 3" xfId="3773"/>
    <cellStyle name="20% - Accent2 15_Exh G" xfId="2101"/>
    <cellStyle name="20% - Accent2 16" xfId="844"/>
    <cellStyle name="20% - Accent2 16 2" xfId="1783"/>
    <cellStyle name="20% - Accent2 16 2 2" xfId="5304"/>
    <cellStyle name="20% - Accent2 16 2_Exh G" xfId="2104"/>
    <cellStyle name="20% - Accent2 16 3" xfId="4425"/>
    <cellStyle name="20% - Accent2 16_Exh G" xfId="2103"/>
    <cellStyle name="20% - Accent2 2" xfId="95"/>
    <cellStyle name="20% - Accent2 2 2" xfId="96"/>
    <cellStyle name="20% - Accent2 2 2 2" xfId="97"/>
    <cellStyle name="20% - Accent2 2 2 2 2" xfId="1125"/>
    <cellStyle name="20% - Accent2 2 2 2 2 2" xfId="4655"/>
    <cellStyle name="20% - Accent2 2 2 2 2_Exh G" xfId="2108"/>
    <cellStyle name="20% - Accent2 2 2 2 3" xfId="3776"/>
    <cellStyle name="20% - Accent2 2 2 2_Exh G" xfId="2107"/>
    <cellStyle name="20% - Accent2 2 2 3" xfId="876"/>
    <cellStyle name="20% - Accent2 2 2 3 2" xfId="1810"/>
    <cellStyle name="20% - Accent2 2 2 3 2 2" xfId="5328"/>
    <cellStyle name="20% - Accent2 2 2 3 2_Exh G" xfId="2110"/>
    <cellStyle name="20% - Accent2 2 2 3 3" xfId="4449"/>
    <cellStyle name="20% - Accent2 2 2 3_Exh G" xfId="2109"/>
    <cellStyle name="20% - Accent2 2 2 4" xfId="1124"/>
    <cellStyle name="20% - Accent2 2 2 4 2" xfId="4654"/>
    <cellStyle name="20% - Accent2 2 2 4_Exh G" xfId="2111"/>
    <cellStyle name="20% - Accent2 2 2 5" xfId="3775"/>
    <cellStyle name="20% - Accent2 2 2_Exh G" xfId="2106"/>
    <cellStyle name="20% - Accent2 2 3" xfId="98"/>
    <cellStyle name="20% - Accent2 2 3 2" xfId="1126"/>
    <cellStyle name="20% - Accent2 2 3 2 2" xfId="4656"/>
    <cellStyle name="20% - Accent2 2 3 2_Exh G" xfId="2113"/>
    <cellStyle name="20% - Accent2 2 3 3" xfId="3777"/>
    <cellStyle name="20% - Accent2 2 3_Exh G" xfId="2112"/>
    <cellStyle name="20% - Accent2 2 4" xfId="875"/>
    <cellStyle name="20% - Accent2 2 4 2" xfId="1809"/>
    <cellStyle name="20% - Accent2 2 4 2 2" xfId="5327"/>
    <cellStyle name="20% - Accent2 2 4 2_Exh G" xfId="2115"/>
    <cellStyle name="20% - Accent2 2 4 3" xfId="4448"/>
    <cellStyle name="20% - Accent2 2 4_Exh G" xfId="2114"/>
    <cellStyle name="20% - Accent2 2 5" xfId="1123"/>
    <cellStyle name="20% - Accent2 2 5 2" xfId="4653"/>
    <cellStyle name="20% - Accent2 2 5_Exh G" xfId="2116"/>
    <cellStyle name="20% - Accent2 2 6" xfId="3774"/>
    <cellStyle name="20% - Accent2 2_Exh G" xfId="2105"/>
    <cellStyle name="20% - Accent2 3" xfId="99"/>
    <cellStyle name="20% - Accent2 3 2" xfId="100"/>
    <cellStyle name="20% - Accent2 3 2 2" xfId="101"/>
    <cellStyle name="20% - Accent2 3 2 2 2" xfId="1129"/>
    <cellStyle name="20% - Accent2 3 2 2 2 2" xfId="4659"/>
    <cellStyle name="20% - Accent2 3 2 2 2_Exh G" xfId="2120"/>
    <cellStyle name="20% - Accent2 3 2 2 3" xfId="3780"/>
    <cellStyle name="20% - Accent2 3 2 2_Exh G" xfId="2119"/>
    <cellStyle name="20% - Accent2 3 2 3" xfId="878"/>
    <cellStyle name="20% - Accent2 3 2 3 2" xfId="1812"/>
    <cellStyle name="20% - Accent2 3 2 3 2 2" xfId="5330"/>
    <cellStyle name="20% - Accent2 3 2 3 2_Exh G" xfId="2122"/>
    <cellStyle name="20% - Accent2 3 2 3 3" xfId="4451"/>
    <cellStyle name="20% - Accent2 3 2 3_Exh G" xfId="2121"/>
    <cellStyle name="20% - Accent2 3 2 4" xfId="1128"/>
    <cellStyle name="20% - Accent2 3 2 4 2" xfId="4658"/>
    <cellStyle name="20% - Accent2 3 2 4_Exh G" xfId="2123"/>
    <cellStyle name="20% - Accent2 3 2 5" xfId="3779"/>
    <cellStyle name="20% - Accent2 3 2_Exh G" xfId="2118"/>
    <cellStyle name="20% - Accent2 3 3" xfId="102"/>
    <cellStyle name="20% - Accent2 3 3 2" xfId="1130"/>
    <cellStyle name="20% - Accent2 3 3 2 2" xfId="4660"/>
    <cellStyle name="20% - Accent2 3 3 2_Exh G" xfId="2125"/>
    <cellStyle name="20% - Accent2 3 3 3" xfId="3781"/>
    <cellStyle name="20% - Accent2 3 3_Exh G" xfId="2124"/>
    <cellStyle name="20% - Accent2 3 4" xfId="877"/>
    <cellStyle name="20% - Accent2 3 4 2" xfId="1811"/>
    <cellStyle name="20% - Accent2 3 4 2 2" xfId="5329"/>
    <cellStyle name="20% - Accent2 3 4 2_Exh G" xfId="2127"/>
    <cellStyle name="20% - Accent2 3 4 3" xfId="4450"/>
    <cellStyle name="20% - Accent2 3 4_Exh G" xfId="2126"/>
    <cellStyle name="20% - Accent2 3 5" xfId="1127"/>
    <cellStyle name="20% - Accent2 3 5 2" xfId="4657"/>
    <cellStyle name="20% - Accent2 3 5_Exh G" xfId="2128"/>
    <cellStyle name="20% - Accent2 3 6" xfId="3778"/>
    <cellStyle name="20% - Accent2 3_Exh G" xfId="2117"/>
    <cellStyle name="20% - Accent2 4" xfId="103"/>
    <cellStyle name="20% - Accent2 4 2" xfId="104"/>
    <cellStyle name="20% - Accent2 4 2 2" xfId="105"/>
    <cellStyle name="20% - Accent2 4 2 2 2" xfId="1133"/>
    <cellStyle name="20% - Accent2 4 2 2 2 2" xfId="4663"/>
    <cellStyle name="20% - Accent2 4 2 2 2_Exh G" xfId="2132"/>
    <cellStyle name="20% - Accent2 4 2 2 3" xfId="3784"/>
    <cellStyle name="20% - Accent2 4 2 2_Exh G" xfId="2131"/>
    <cellStyle name="20% - Accent2 4 2 3" xfId="880"/>
    <cellStyle name="20% - Accent2 4 2 3 2" xfId="1814"/>
    <cellStyle name="20% - Accent2 4 2 3 2 2" xfId="5332"/>
    <cellStyle name="20% - Accent2 4 2 3 2_Exh G" xfId="2134"/>
    <cellStyle name="20% - Accent2 4 2 3 3" xfId="4453"/>
    <cellStyle name="20% - Accent2 4 2 3_Exh G" xfId="2133"/>
    <cellStyle name="20% - Accent2 4 2 4" xfId="1132"/>
    <cellStyle name="20% - Accent2 4 2 4 2" xfId="4662"/>
    <cellStyle name="20% - Accent2 4 2 4_Exh G" xfId="2135"/>
    <cellStyle name="20% - Accent2 4 2 5" xfId="3783"/>
    <cellStyle name="20% - Accent2 4 2_Exh G" xfId="2130"/>
    <cellStyle name="20% - Accent2 4 3" xfId="106"/>
    <cellStyle name="20% - Accent2 4 3 2" xfId="1134"/>
    <cellStyle name="20% - Accent2 4 3 2 2" xfId="4664"/>
    <cellStyle name="20% - Accent2 4 3 2_Exh G" xfId="2137"/>
    <cellStyle name="20% - Accent2 4 3 3" xfId="3785"/>
    <cellStyle name="20% - Accent2 4 3_Exh G" xfId="2136"/>
    <cellStyle name="20% - Accent2 4 4" xfId="879"/>
    <cellStyle name="20% - Accent2 4 4 2" xfId="1813"/>
    <cellStyle name="20% - Accent2 4 4 2 2" xfId="5331"/>
    <cellStyle name="20% - Accent2 4 4 2_Exh G" xfId="2139"/>
    <cellStyle name="20% - Accent2 4 4 3" xfId="4452"/>
    <cellStyle name="20% - Accent2 4 4_Exh G" xfId="2138"/>
    <cellStyle name="20% - Accent2 4 5" xfId="1131"/>
    <cellStyle name="20% - Accent2 4 5 2" xfId="4661"/>
    <cellStyle name="20% - Accent2 4 5_Exh G" xfId="2140"/>
    <cellStyle name="20% - Accent2 4 6" xfId="3782"/>
    <cellStyle name="20% - Accent2 4_Exh G" xfId="2129"/>
    <cellStyle name="20% - Accent2 5" xfId="107"/>
    <cellStyle name="20% - Accent2 5 2" xfId="108"/>
    <cellStyle name="20% - Accent2 5 2 2" xfId="109"/>
    <cellStyle name="20% - Accent2 5 2 2 2" xfId="1137"/>
    <cellStyle name="20% - Accent2 5 2 2 2 2" xfId="4667"/>
    <cellStyle name="20% - Accent2 5 2 2 2_Exh G" xfId="2144"/>
    <cellStyle name="20% - Accent2 5 2 2 3" xfId="3788"/>
    <cellStyle name="20% - Accent2 5 2 2_Exh G" xfId="2143"/>
    <cellStyle name="20% - Accent2 5 2 3" xfId="1136"/>
    <cellStyle name="20% - Accent2 5 2 3 2" xfId="4666"/>
    <cellStyle name="20% - Accent2 5 2 3_Exh G" xfId="2145"/>
    <cellStyle name="20% - Accent2 5 2 4" xfId="3787"/>
    <cellStyle name="20% - Accent2 5 2_Exh G" xfId="2142"/>
    <cellStyle name="20% - Accent2 5 3" xfId="110"/>
    <cellStyle name="20% - Accent2 5 3 2" xfId="1138"/>
    <cellStyle name="20% - Accent2 5 3 2 2" xfId="4668"/>
    <cellStyle name="20% - Accent2 5 3 2_Exh G" xfId="2147"/>
    <cellStyle name="20% - Accent2 5 3 3" xfId="3789"/>
    <cellStyle name="20% - Accent2 5 3_Exh G" xfId="2146"/>
    <cellStyle name="20% - Accent2 5 4" xfId="881"/>
    <cellStyle name="20% - Accent2 5 5" xfId="1135"/>
    <cellStyle name="20% - Accent2 5 5 2" xfId="4665"/>
    <cellStyle name="20% - Accent2 5 5_Exh G" xfId="2148"/>
    <cellStyle name="20% - Accent2 5 6" xfId="3786"/>
    <cellStyle name="20% - Accent2 5_Exh G" xfId="2141"/>
    <cellStyle name="20% - Accent2 6" xfId="111"/>
    <cellStyle name="20% - Accent2 6 2" xfId="112"/>
    <cellStyle name="20% - Accent2 6 2 2" xfId="113"/>
    <cellStyle name="20% - Accent2 6 2 2 2" xfId="1141"/>
    <cellStyle name="20% - Accent2 6 2 2 2 2" xfId="4671"/>
    <cellStyle name="20% - Accent2 6 2 2 2_Exh G" xfId="2152"/>
    <cellStyle name="20% - Accent2 6 2 2 3" xfId="3792"/>
    <cellStyle name="20% - Accent2 6 2 2_Exh G" xfId="2151"/>
    <cellStyle name="20% - Accent2 6 2 3" xfId="1140"/>
    <cellStyle name="20% - Accent2 6 2 3 2" xfId="4670"/>
    <cellStyle name="20% - Accent2 6 2 3_Exh G" xfId="2153"/>
    <cellStyle name="20% - Accent2 6 2 4" xfId="3791"/>
    <cellStyle name="20% - Accent2 6 2_Exh G" xfId="2150"/>
    <cellStyle name="20% - Accent2 6 3" xfId="114"/>
    <cellStyle name="20% - Accent2 6 3 2" xfId="1142"/>
    <cellStyle name="20% - Accent2 6 3 2 2" xfId="4672"/>
    <cellStyle name="20% - Accent2 6 3 2_Exh G" xfId="2155"/>
    <cellStyle name="20% - Accent2 6 3 3" xfId="3793"/>
    <cellStyle name="20% - Accent2 6 3_Exh G" xfId="2154"/>
    <cellStyle name="20% - Accent2 6 4" xfId="882"/>
    <cellStyle name="20% - Accent2 6 4 2" xfId="1815"/>
    <cellStyle name="20% - Accent2 6 4 2 2" xfId="5333"/>
    <cellStyle name="20% - Accent2 6 4 2_Exh G" xfId="2157"/>
    <cellStyle name="20% - Accent2 6 4 3" xfId="4454"/>
    <cellStyle name="20% - Accent2 6 4_Exh G" xfId="2156"/>
    <cellStyle name="20% - Accent2 6 5" xfId="1139"/>
    <cellStyle name="20% - Accent2 6 5 2" xfId="4669"/>
    <cellStyle name="20% - Accent2 6 5_Exh G" xfId="2158"/>
    <cellStyle name="20% - Accent2 6 6" xfId="3790"/>
    <cellStyle name="20% - Accent2 6_Exh G" xfId="2149"/>
    <cellStyle name="20% - Accent2 7" xfId="115"/>
    <cellStyle name="20% - Accent2 7 2" xfId="116"/>
    <cellStyle name="20% - Accent2 7 2 2" xfId="117"/>
    <cellStyle name="20% - Accent2 7 2 2 2" xfId="1145"/>
    <cellStyle name="20% - Accent2 7 2 2 2 2" xfId="4675"/>
    <cellStyle name="20% - Accent2 7 2 2 2_Exh G" xfId="2162"/>
    <cellStyle name="20% - Accent2 7 2 2 3" xfId="3796"/>
    <cellStyle name="20% - Accent2 7 2 2_Exh G" xfId="2161"/>
    <cellStyle name="20% - Accent2 7 2 3" xfId="1144"/>
    <cellStyle name="20% - Accent2 7 2 3 2" xfId="4674"/>
    <cellStyle name="20% - Accent2 7 2 3_Exh G" xfId="2163"/>
    <cellStyle name="20% - Accent2 7 2 4" xfId="3795"/>
    <cellStyle name="20% - Accent2 7 2_Exh G" xfId="2160"/>
    <cellStyle name="20% - Accent2 7 3" xfId="118"/>
    <cellStyle name="20% - Accent2 7 3 2" xfId="1146"/>
    <cellStyle name="20% - Accent2 7 3 2 2" xfId="4676"/>
    <cellStyle name="20% - Accent2 7 3 2_Exh G" xfId="2165"/>
    <cellStyle name="20% - Accent2 7 3 3" xfId="3797"/>
    <cellStyle name="20% - Accent2 7 3_Exh G" xfId="2164"/>
    <cellStyle name="20% - Accent2 7 4" xfId="883"/>
    <cellStyle name="20% - Accent2 7 4 2" xfId="1816"/>
    <cellStyle name="20% - Accent2 7 4 2 2" xfId="5334"/>
    <cellStyle name="20% - Accent2 7 4 2_Exh G" xfId="2167"/>
    <cellStyle name="20% - Accent2 7 4 3" xfId="4455"/>
    <cellStyle name="20% - Accent2 7 4_Exh G" xfId="2166"/>
    <cellStyle name="20% - Accent2 7 5" xfId="1143"/>
    <cellStyle name="20% - Accent2 7 5 2" xfId="4673"/>
    <cellStyle name="20% - Accent2 7 5_Exh G" xfId="2168"/>
    <cellStyle name="20% - Accent2 7 6" xfId="3794"/>
    <cellStyle name="20% - Accent2 7_Exh G" xfId="2159"/>
    <cellStyle name="20% - Accent2 8" xfId="119"/>
    <cellStyle name="20% - Accent2 8 2" xfId="120"/>
    <cellStyle name="20% - Accent2 8 2 2" xfId="121"/>
    <cellStyle name="20% - Accent2 8 2 2 2" xfId="1149"/>
    <cellStyle name="20% - Accent2 8 2 2 2 2" xfId="4679"/>
    <cellStyle name="20% - Accent2 8 2 2 2_Exh G" xfId="2172"/>
    <cellStyle name="20% - Accent2 8 2 2 3" xfId="3800"/>
    <cellStyle name="20% - Accent2 8 2 2_Exh G" xfId="2171"/>
    <cellStyle name="20% - Accent2 8 2 3" xfId="1148"/>
    <cellStyle name="20% - Accent2 8 2 3 2" xfId="4678"/>
    <cellStyle name="20% - Accent2 8 2 3_Exh G" xfId="2173"/>
    <cellStyle name="20% - Accent2 8 2 4" xfId="3799"/>
    <cellStyle name="20% - Accent2 8 2_Exh G" xfId="2170"/>
    <cellStyle name="20% - Accent2 8 3" xfId="122"/>
    <cellStyle name="20% - Accent2 8 3 2" xfId="1150"/>
    <cellStyle name="20% - Accent2 8 3 2 2" xfId="4680"/>
    <cellStyle name="20% - Accent2 8 3 2_Exh G" xfId="2175"/>
    <cellStyle name="20% - Accent2 8 3 3" xfId="3801"/>
    <cellStyle name="20% - Accent2 8 3_Exh G" xfId="2174"/>
    <cellStyle name="20% - Accent2 8 4" xfId="884"/>
    <cellStyle name="20% - Accent2 8 4 2" xfId="1817"/>
    <cellStyle name="20% - Accent2 8 4 2 2" xfId="5335"/>
    <cellStyle name="20% - Accent2 8 4 2_Exh G" xfId="2177"/>
    <cellStyle name="20% - Accent2 8 4 3" xfId="4456"/>
    <cellStyle name="20% - Accent2 8 4_Exh G" xfId="2176"/>
    <cellStyle name="20% - Accent2 8 5" xfId="1147"/>
    <cellStyle name="20% - Accent2 8 5 2" xfId="4677"/>
    <cellStyle name="20% - Accent2 8 5_Exh G" xfId="2178"/>
    <cellStyle name="20% - Accent2 8 6" xfId="3798"/>
    <cellStyle name="20% - Accent2 8_Exh G" xfId="2169"/>
    <cellStyle name="20% - Accent2 9" xfId="123"/>
    <cellStyle name="20% - Accent2 9 2" xfId="124"/>
    <cellStyle name="20% - Accent2 9 2 2" xfId="125"/>
    <cellStyle name="20% - Accent2 9 2 2 2" xfId="1153"/>
    <cellStyle name="20% - Accent2 9 2 2 2 2" xfId="4683"/>
    <cellStyle name="20% - Accent2 9 2 2 2_Exh G" xfId="2182"/>
    <cellStyle name="20% - Accent2 9 2 2 3" xfId="3804"/>
    <cellStyle name="20% - Accent2 9 2 2_Exh G" xfId="2181"/>
    <cellStyle name="20% - Accent2 9 2 3" xfId="1152"/>
    <cellStyle name="20% - Accent2 9 2 3 2" xfId="4682"/>
    <cellStyle name="20% - Accent2 9 2 3_Exh G" xfId="2183"/>
    <cellStyle name="20% - Accent2 9 2 4" xfId="3803"/>
    <cellStyle name="20% - Accent2 9 2_Exh G" xfId="2180"/>
    <cellStyle name="20% - Accent2 9 3" xfId="126"/>
    <cellStyle name="20% - Accent2 9 3 2" xfId="1154"/>
    <cellStyle name="20% - Accent2 9 3 2 2" xfId="4684"/>
    <cellStyle name="20% - Accent2 9 3 2_Exh G" xfId="2185"/>
    <cellStyle name="20% - Accent2 9 3 3" xfId="3805"/>
    <cellStyle name="20% - Accent2 9 3_Exh G" xfId="2184"/>
    <cellStyle name="20% - Accent2 9 4" xfId="885"/>
    <cellStyle name="20% - Accent2 9 4 2" xfId="1818"/>
    <cellStyle name="20% - Accent2 9 4 2 2" xfId="5336"/>
    <cellStyle name="20% - Accent2 9 4 2_Exh G" xfId="2187"/>
    <cellStyle name="20% - Accent2 9 4 3" xfId="4457"/>
    <cellStyle name="20% - Accent2 9 4_Exh G" xfId="2186"/>
    <cellStyle name="20% - Accent2 9 5" xfId="1151"/>
    <cellStyle name="20% - Accent2 9 5 2" xfId="4681"/>
    <cellStyle name="20% - Accent2 9 5_Exh G" xfId="2188"/>
    <cellStyle name="20% - Accent2 9 6" xfId="3802"/>
    <cellStyle name="20% - Accent2 9_Exh G" xfId="2179"/>
    <cellStyle name="20% - Accent3 10" xfId="127"/>
    <cellStyle name="20% - Accent3 10 2" xfId="128"/>
    <cellStyle name="20% - Accent3 10 2 2" xfId="129"/>
    <cellStyle name="20% - Accent3 10 2 2 2" xfId="1157"/>
    <cellStyle name="20% - Accent3 10 2 2 2 2" xfId="4687"/>
    <cellStyle name="20% - Accent3 10 2 2 2_Exh G" xfId="2192"/>
    <cellStyle name="20% - Accent3 10 2 2 3" xfId="3808"/>
    <cellStyle name="20% - Accent3 10 2 2_Exh G" xfId="2191"/>
    <cellStyle name="20% - Accent3 10 2 3" xfId="1156"/>
    <cellStyle name="20% - Accent3 10 2 3 2" xfId="4686"/>
    <cellStyle name="20% - Accent3 10 2 3_Exh G" xfId="2193"/>
    <cellStyle name="20% - Accent3 10 2 4" xfId="3807"/>
    <cellStyle name="20% - Accent3 10 2_Exh G" xfId="2190"/>
    <cellStyle name="20% - Accent3 10 3" xfId="130"/>
    <cellStyle name="20% - Accent3 10 3 2" xfId="1158"/>
    <cellStyle name="20% - Accent3 10 3 2 2" xfId="4688"/>
    <cellStyle name="20% - Accent3 10 3 2_Exh G" xfId="2195"/>
    <cellStyle name="20% - Accent3 10 3 3" xfId="3809"/>
    <cellStyle name="20% - Accent3 10 3_Exh G" xfId="2194"/>
    <cellStyle name="20% - Accent3 10 4" xfId="886"/>
    <cellStyle name="20% - Accent3 10 5" xfId="1155"/>
    <cellStyle name="20% - Accent3 10 5 2" xfId="4685"/>
    <cellStyle name="20% - Accent3 10 5_Exh G" xfId="2196"/>
    <cellStyle name="20% - Accent3 10 6" xfId="3806"/>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_Exh G" xfId="2200"/>
    <cellStyle name="20% - Accent3 11 2 2 3" xfId="3812"/>
    <cellStyle name="20% - Accent3 11 2 2_Exh G" xfId="2199"/>
    <cellStyle name="20% - Accent3 11 2 3" xfId="1160"/>
    <cellStyle name="20% - Accent3 11 2 3 2" xfId="4690"/>
    <cellStyle name="20% - Accent3 11 2 3_Exh G" xfId="2201"/>
    <cellStyle name="20% - Accent3 11 2 4" xfId="3811"/>
    <cellStyle name="20% - Accent3 11 2_Exh G" xfId="2198"/>
    <cellStyle name="20% - Accent3 11 3" xfId="134"/>
    <cellStyle name="20% - Accent3 11 3 2" xfId="1162"/>
    <cellStyle name="20% - Accent3 11 3 2 2" xfId="4692"/>
    <cellStyle name="20% - Accent3 11 3 2_Exh G" xfId="2203"/>
    <cellStyle name="20% - Accent3 11 3 3" xfId="3813"/>
    <cellStyle name="20% - Accent3 11 3_Exh G" xfId="2202"/>
    <cellStyle name="20% - Accent3 11 4" xfId="1159"/>
    <cellStyle name="20% - Accent3 11 4 2" xfId="4689"/>
    <cellStyle name="20% - Accent3 11 4_Exh G" xfId="2204"/>
    <cellStyle name="20% - Accent3 11 5" xfId="3810"/>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_Exh G" xfId="2208"/>
    <cellStyle name="20% - Accent3 12 2 2 3" xfId="3816"/>
    <cellStyle name="20% - Accent3 12 2 2_Exh G" xfId="2207"/>
    <cellStyle name="20% - Accent3 12 2 3" xfId="1164"/>
    <cellStyle name="20% - Accent3 12 2 3 2" xfId="4694"/>
    <cellStyle name="20% - Accent3 12 2 3_Exh G" xfId="2209"/>
    <cellStyle name="20% - Accent3 12 2 4" xfId="3815"/>
    <cellStyle name="20% - Accent3 12 2_Exh G" xfId="2206"/>
    <cellStyle name="20% - Accent3 12 3" xfId="138"/>
    <cellStyle name="20% - Accent3 12 3 2" xfId="1166"/>
    <cellStyle name="20% - Accent3 12 3 2 2" xfId="4696"/>
    <cellStyle name="20% - Accent3 12 3 2_Exh G" xfId="2211"/>
    <cellStyle name="20% - Accent3 12 3 3" xfId="3817"/>
    <cellStyle name="20% - Accent3 12 3_Exh G" xfId="2210"/>
    <cellStyle name="20% - Accent3 12 4" xfId="1163"/>
    <cellStyle name="20% - Accent3 12 4 2" xfId="4693"/>
    <cellStyle name="20% - Accent3 12 4_Exh G" xfId="2212"/>
    <cellStyle name="20% - Accent3 12 5" xfId="3814"/>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_Exh G" xfId="2216"/>
    <cellStyle name="20% - Accent3 13 2 2 3" xfId="3820"/>
    <cellStyle name="20% - Accent3 13 2 2_Exh G" xfId="2215"/>
    <cellStyle name="20% - Accent3 13 2 3" xfId="1168"/>
    <cellStyle name="20% - Accent3 13 2 3 2" xfId="4698"/>
    <cellStyle name="20% - Accent3 13 2 3_Exh G" xfId="2217"/>
    <cellStyle name="20% - Accent3 13 2 4" xfId="3819"/>
    <cellStyle name="20% - Accent3 13 2_Exh G" xfId="2214"/>
    <cellStyle name="20% - Accent3 13 3" xfId="142"/>
    <cellStyle name="20% - Accent3 13 3 2" xfId="1170"/>
    <cellStyle name="20% - Accent3 13 3 2 2" xfId="4700"/>
    <cellStyle name="20% - Accent3 13 3 2_Exh G" xfId="2219"/>
    <cellStyle name="20% - Accent3 13 3 3" xfId="3821"/>
    <cellStyle name="20% - Accent3 13 3_Exh G" xfId="2218"/>
    <cellStyle name="20% - Accent3 13 4" xfId="1167"/>
    <cellStyle name="20% - Accent3 13 4 2" xfId="4697"/>
    <cellStyle name="20% - Accent3 13 4_Exh G" xfId="2220"/>
    <cellStyle name="20% - Accent3 13 5" xfId="3818"/>
    <cellStyle name="20% - Accent3 13_Exh G" xfId="2213"/>
    <cellStyle name="20% - Accent3 14" xfId="143"/>
    <cellStyle name="20% - Accent3 14 2" xfId="144"/>
    <cellStyle name="20% - Accent3 14 2 2" xfId="1172"/>
    <cellStyle name="20% - Accent3 14 2 2 2" xfId="4702"/>
    <cellStyle name="20% - Accent3 14 2 2_Exh G" xfId="2223"/>
    <cellStyle name="20% - Accent3 14 2 3" xfId="3823"/>
    <cellStyle name="20% - Accent3 14 2_Exh G" xfId="2222"/>
    <cellStyle name="20% - Accent3 14 3" xfId="1171"/>
    <cellStyle name="20% - Accent3 14 3 2" xfId="4701"/>
    <cellStyle name="20% - Accent3 14 3_Exh G" xfId="2224"/>
    <cellStyle name="20% - Accent3 14 4" xfId="3822"/>
    <cellStyle name="20% - Accent3 14_Exh G" xfId="2221"/>
    <cellStyle name="20% - Accent3 15" xfId="145"/>
    <cellStyle name="20% - Accent3 15 2" xfId="1173"/>
    <cellStyle name="20% - Accent3 15 2 2" xfId="4703"/>
    <cellStyle name="20% - Accent3 15 2_Exh G" xfId="2226"/>
    <cellStyle name="20% - Accent3 15 3" xfId="3824"/>
    <cellStyle name="20% - Accent3 15_Exh G" xfId="2225"/>
    <cellStyle name="20% - Accent3 16" xfId="845"/>
    <cellStyle name="20% - Accent3 16 2" xfId="1784"/>
    <cellStyle name="20% - Accent3 16 2 2" xfId="5305"/>
    <cellStyle name="20% - Accent3 16 2_Exh G" xfId="2228"/>
    <cellStyle name="20% - Accent3 16 3" xfId="4426"/>
    <cellStyle name="20% - Accent3 16_Exh G" xfId="2227"/>
    <cellStyle name="20% - Accent3 2" xfId="146"/>
    <cellStyle name="20% - Accent3 2 2" xfId="147"/>
    <cellStyle name="20% - Accent3 2 2 2" xfId="148"/>
    <cellStyle name="20% - Accent3 2 2 2 2" xfId="1176"/>
    <cellStyle name="20% - Accent3 2 2 2 2 2" xfId="4706"/>
    <cellStyle name="20% - Accent3 2 2 2 2_Exh G" xfId="2232"/>
    <cellStyle name="20% - Accent3 2 2 2 3" xfId="3827"/>
    <cellStyle name="20% - Accent3 2 2 2_Exh G" xfId="2231"/>
    <cellStyle name="20% - Accent3 2 2 3" xfId="888"/>
    <cellStyle name="20% - Accent3 2 2 3 2" xfId="1820"/>
    <cellStyle name="20% - Accent3 2 2 3 2 2" xfId="5338"/>
    <cellStyle name="20% - Accent3 2 2 3 2_Exh G" xfId="2234"/>
    <cellStyle name="20% - Accent3 2 2 3 3" xfId="4459"/>
    <cellStyle name="20% - Accent3 2 2 3_Exh G" xfId="2233"/>
    <cellStyle name="20% - Accent3 2 2 4" xfId="1175"/>
    <cellStyle name="20% - Accent3 2 2 4 2" xfId="4705"/>
    <cellStyle name="20% - Accent3 2 2 4_Exh G" xfId="2235"/>
    <cellStyle name="20% - Accent3 2 2 5" xfId="3826"/>
    <cellStyle name="20% - Accent3 2 2_Exh G" xfId="2230"/>
    <cellStyle name="20% - Accent3 2 3" xfId="149"/>
    <cellStyle name="20% - Accent3 2 3 2" xfId="1177"/>
    <cellStyle name="20% - Accent3 2 3 2 2" xfId="4707"/>
    <cellStyle name="20% - Accent3 2 3 2_Exh G" xfId="2237"/>
    <cellStyle name="20% - Accent3 2 3 3" xfId="3828"/>
    <cellStyle name="20% - Accent3 2 3_Exh G" xfId="2236"/>
    <cellStyle name="20% - Accent3 2 4" xfId="887"/>
    <cellStyle name="20% - Accent3 2 4 2" xfId="1819"/>
    <cellStyle name="20% - Accent3 2 4 2 2" xfId="5337"/>
    <cellStyle name="20% - Accent3 2 4 2_Exh G" xfId="2239"/>
    <cellStyle name="20% - Accent3 2 4 3" xfId="4458"/>
    <cellStyle name="20% - Accent3 2 4_Exh G" xfId="2238"/>
    <cellStyle name="20% - Accent3 2 5" xfId="1174"/>
    <cellStyle name="20% - Accent3 2 5 2" xfId="4704"/>
    <cellStyle name="20% - Accent3 2 5_Exh G" xfId="2240"/>
    <cellStyle name="20% - Accent3 2 6" xfId="3825"/>
    <cellStyle name="20% - Accent3 2_Exh G" xfId="2229"/>
    <cellStyle name="20% - Accent3 3" xfId="150"/>
    <cellStyle name="20% - Accent3 3 2" xfId="151"/>
    <cellStyle name="20% - Accent3 3 2 2" xfId="152"/>
    <cellStyle name="20% - Accent3 3 2 2 2" xfId="1180"/>
    <cellStyle name="20% - Accent3 3 2 2 2 2" xfId="4710"/>
    <cellStyle name="20% - Accent3 3 2 2 2_Exh G" xfId="2244"/>
    <cellStyle name="20% - Accent3 3 2 2 3" xfId="3831"/>
    <cellStyle name="20% - Accent3 3 2 2_Exh G" xfId="2243"/>
    <cellStyle name="20% - Accent3 3 2 3" xfId="890"/>
    <cellStyle name="20% - Accent3 3 2 3 2" xfId="1822"/>
    <cellStyle name="20% - Accent3 3 2 3 2 2" xfId="5340"/>
    <cellStyle name="20% - Accent3 3 2 3 2_Exh G" xfId="2246"/>
    <cellStyle name="20% - Accent3 3 2 3 3" xfId="4461"/>
    <cellStyle name="20% - Accent3 3 2 3_Exh G" xfId="2245"/>
    <cellStyle name="20% - Accent3 3 2 4" xfId="1179"/>
    <cellStyle name="20% - Accent3 3 2 4 2" xfId="4709"/>
    <cellStyle name="20% - Accent3 3 2 4_Exh G" xfId="2247"/>
    <cellStyle name="20% - Accent3 3 2 5" xfId="3830"/>
    <cellStyle name="20% - Accent3 3 2_Exh G" xfId="2242"/>
    <cellStyle name="20% - Accent3 3 3" xfId="153"/>
    <cellStyle name="20% - Accent3 3 3 2" xfId="1181"/>
    <cellStyle name="20% - Accent3 3 3 2 2" xfId="4711"/>
    <cellStyle name="20% - Accent3 3 3 2_Exh G" xfId="2249"/>
    <cellStyle name="20% - Accent3 3 3 3" xfId="3832"/>
    <cellStyle name="20% - Accent3 3 3_Exh G" xfId="2248"/>
    <cellStyle name="20% - Accent3 3 4" xfId="889"/>
    <cellStyle name="20% - Accent3 3 4 2" xfId="1821"/>
    <cellStyle name="20% - Accent3 3 4 2 2" xfId="5339"/>
    <cellStyle name="20% - Accent3 3 4 2_Exh G" xfId="2251"/>
    <cellStyle name="20% - Accent3 3 4 3" xfId="4460"/>
    <cellStyle name="20% - Accent3 3 4_Exh G" xfId="2250"/>
    <cellStyle name="20% - Accent3 3 5" xfId="1178"/>
    <cellStyle name="20% - Accent3 3 5 2" xfId="4708"/>
    <cellStyle name="20% - Accent3 3 5_Exh G" xfId="2252"/>
    <cellStyle name="20% - Accent3 3 6" xfId="3829"/>
    <cellStyle name="20% - Accent3 3_Exh G" xfId="2241"/>
    <cellStyle name="20% - Accent3 4" xfId="154"/>
    <cellStyle name="20% - Accent3 4 2" xfId="155"/>
    <cellStyle name="20% - Accent3 4 2 2" xfId="156"/>
    <cellStyle name="20% - Accent3 4 2 2 2" xfId="1184"/>
    <cellStyle name="20% - Accent3 4 2 2 2 2" xfId="4714"/>
    <cellStyle name="20% - Accent3 4 2 2 2_Exh G" xfId="2256"/>
    <cellStyle name="20% - Accent3 4 2 2 3" xfId="3835"/>
    <cellStyle name="20% - Accent3 4 2 2_Exh G" xfId="2255"/>
    <cellStyle name="20% - Accent3 4 2 3" xfId="892"/>
    <cellStyle name="20% - Accent3 4 2 3 2" xfId="1824"/>
    <cellStyle name="20% - Accent3 4 2 3 2 2" xfId="5342"/>
    <cellStyle name="20% - Accent3 4 2 3 2_Exh G" xfId="2258"/>
    <cellStyle name="20% - Accent3 4 2 3 3" xfId="4463"/>
    <cellStyle name="20% - Accent3 4 2 3_Exh G" xfId="2257"/>
    <cellStyle name="20% - Accent3 4 2 4" xfId="1183"/>
    <cellStyle name="20% - Accent3 4 2 4 2" xfId="4713"/>
    <cellStyle name="20% - Accent3 4 2 4_Exh G" xfId="2259"/>
    <cellStyle name="20% - Accent3 4 2 5" xfId="3834"/>
    <cellStyle name="20% - Accent3 4 2_Exh G" xfId="2254"/>
    <cellStyle name="20% - Accent3 4 3" xfId="157"/>
    <cellStyle name="20% - Accent3 4 3 2" xfId="1185"/>
    <cellStyle name="20% - Accent3 4 3 2 2" xfId="4715"/>
    <cellStyle name="20% - Accent3 4 3 2_Exh G" xfId="2261"/>
    <cellStyle name="20% - Accent3 4 3 3" xfId="3836"/>
    <cellStyle name="20% - Accent3 4 3_Exh G" xfId="2260"/>
    <cellStyle name="20% - Accent3 4 4" xfId="891"/>
    <cellStyle name="20% - Accent3 4 4 2" xfId="1823"/>
    <cellStyle name="20% - Accent3 4 4 2 2" xfId="5341"/>
    <cellStyle name="20% - Accent3 4 4 2_Exh G" xfId="2263"/>
    <cellStyle name="20% - Accent3 4 4 3" xfId="4462"/>
    <cellStyle name="20% - Accent3 4 4_Exh G" xfId="2262"/>
    <cellStyle name="20% - Accent3 4 5" xfId="1182"/>
    <cellStyle name="20% - Accent3 4 5 2" xfId="4712"/>
    <cellStyle name="20% - Accent3 4 5_Exh G" xfId="2264"/>
    <cellStyle name="20% - Accent3 4 6" xfId="3833"/>
    <cellStyle name="20% - Accent3 4_Exh G" xfId="2253"/>
    <cellStyle name="20% - Accent3 5" xfId="158"/>
    <cellStyle name="20% - Accent3 5 2" xfId="159"/>
    <cellStyle name="20% - Accent3 5 2 2" xfId="160"/>
    <cellStyle name="20% - Accent3 5 2 2 2" xfId="1188"/>
    <cellStyle name="20% - Accent3 5 2 2 2 2" xfId="4718"/>
    <cellStyle name="20% - Accent3 5 2 2 2_Exh G" xfId="2268"/>
    <cellStyle name="20% - Accent3 5 2 2 3" xfId="3839"/>
    <cellStyle name="20% - Accent3 5 2 2_Exh G" xfId="2267"/>
    <cellStyle name="20% - Accent3 5 2 3" xfId="1187"/>
    <cellStyle name="20% - Accent3 5 2 3 2" xfId="4717"/>
    <cellStyle name="20% - Accent3 5 2 3_Exh G" xfId="2269"/>
    <cellStyle name="20% - Accent3 5 2 4" xfId="3838"/>
    <cellStyle name="20% - Accent3 5 2_Exh G" xfId="2266"/>
    <cellStyle name="20% - Accent3 5 3" xfId="161"/>
    <cellStyle name="20% - Accent3 5 3 2" xfId="1189"/>
    <cellStyle name="20% - Accent3 5 3 2 2" xfId="4719"/>
    <cellStyle name="20% - Accent3 5 3 2_Exh G" xfId="2271"/>
    <cellStyle name="20% - Accent3 5 3 3" xfId="3840"/>
    <cellStyle name="20% - Accent3 5 3_Exh G" xfId="2270"/>
    <cellStyle name="20% - Accent3 5 4" xfId="893"/>
    <cellStyle name="20% - Accent3 5 5" xfId="1186"/>
    <cellStyle name="20% - Accent3 5 5 2" xfId="4716"/>
    <cellStyle name="20% - Accent3 5 5_Exh G" xfId="2272"/>
    <cellStyle name="20% - Accent3 5 6" xfId="3837"/>
    <cellStyle name="20% - Accent3 5_Exh G" xfId="2265"/>
    <cellStyle name="20% - Accent3 6" xfId="162"/>
    <cellStyle name="20% - Accent3 6 2" xfId="163"/>
    <cellStyle name="20% - Accent3 6 2 2" xfId="164"/>
    <cellStyle name="20% - Accent3 6 2 2 2" xfId="1192"/>
    <cellStyle name="20% - Accent3 6 2 2 2 2" xfId="4722"/>
    <cellStyle name="20% - Accent3 6 2 2 2_Exh G" xfId="2276"/>
    <cellStyle name="20% - Accent3 6 2 2 3" xfId="3843"/>
    <cellStyle name="20% - Accent3 6 2 2_Exh G" xfId="2275"/>
    <cellStyle name="20% - Accent3 6 2 3" xfId="1191"/>
    <cellStyle name="20% - Accent3 6 2 3 2" xfId="4721"/>
    <cellStyle name="20% - Accent3 6 2 3_Exh G" xfId="2277"/>
    <cellStyle name="20% - Accent3 6 2 4" xfId="3842"/>
    <cellStyle name="20% - Accent3 6 2_Exh G" xfId="2274"/>
    <cellStyle name="20% - Accent3 6 3" xfId="165"/>
    <cellStyle name="20% - Accent3 6 3 2" xfId="1193"/>
    <cellStyle name="20% - Accent3 6 3 2 2" xfId="4723"/>
    <cellStyle name="20% - Accent3 6 3 2_Exh G" xfId="2279"/>
    <cellStyle name="20% - Accent3 6 3 3" xfId="3844"/>
    <cellStyle name="20% - Accent3 6 3_Exh G" xfId="2278"/>
    <cellStyle name="20% - Accent3 6 4" xfId="894"/>
    <cellStyle name="20% - Accent3 6 4 2" xfId="1825"/>
    <cellStyle name="20% - Accent3 6 4 2 2" xfId="5343"/>
    <cellStyle name="20% - Accent3 6 4 2_Exh G" xfId="2281"/>
    <cellStyle name="20% - Accent3 6 4 3" xfId="4464"/>
    <cellStyle name="20% - Accent3 6 4_Exh G" xfId="2280"/>
    <cellStyle name="20% - Accent3 6 5" xfId="1190"/>
    <cellStyle name="20% - Accent3 6 5 2" xfId="4720"/>
    <cellStyle name="20% - Accent3 6 5_Exh G" xfId="2282"/>
    <cellStyle name="20% - Accent3 6 6" xfId="3841"/>
    <cellStyle name="20% - Accent3 6_Exh G" xfId="2273"/>
    <cellStyle name="20% - Accent3 7" xfId="166"/>
    <cellStyle name="20% - Accent3 7 2" xfId="167"/>
    <cellStyle name="20% - Accent3 7 2 2" xfId="168"/>
    <cellStyle name="20% - Accent3 7 2 2 2" xfId="1196"/>
    <cellStyle name="20% - Accent3 7 2 2 2 2" xfId="4726"/>
    <cellStyle name="20% - Accent3 7 2 2 2_Exh G" xfId="2286"/>
    <cellStyle name="20% - Accent3 7 2 2 3" xfId="3847"/>
    <cellStyle name="20% - Accent3 7 2 2_Exh G" xfId="2285"/>
    <cellStyle name="20% - Accent3 7 2 3" xfId="1195"/>
    <cellStyle name="20% - Accent3 7 2 3 2" xfId="4725"/>
    <cellStyle name="20% - Accent3 7 2 3_Exh G" xfId="2287"/>
    <cellStyle name="20% - Accent3 7 2 4" xfId="3846"/>
    <cellStyle name="20% - Accent3 7 2_Exh G" xfId="2284"/>
    <cellStyle name="20% - Accent3 7 3" xfId="169"/>
    <cellStyle name="20% - Accent3 7 3 2" xfId="1197"/>
    <cellStyle name="20% - Accent3 7 3 2 2" xfId="4727"/>
    <cellStyle name="20% - Accent3 7 3 2_Exh G" xfId="2289"/>
    <cellStyle name="20% - Accent3 7 3 3" xfId="3848"/>
    <cellStyle name="20% - Accent3 7 3_Exh G" xfId="2288"/>
    <cellStyle name="20% - Accent3 7 4" xfId="895"/>
    <cellStyle name="20% - Accent3 7 4 2" xfId="1826"/>
    <cellStyle name="20% - Accent3 7 4 2 2" xfId="5344"/>
    <cellStyle name="20% - Accent3 7 4 2_Exh G" xfId="2291"/>
    <cellStyle name="20% - Accent3 7 4 3" xfId="4465"/>
    <cellStyle name="20% - Accent3 7 4_Exh G" xfId="2290"/>
    <cellStyle name="20% - Accent3 7 5" xfId="1194"/>
    <cellStyle name="20% - Accent3 7 5 2" xfId="4724"/>
    <cellStyle name="20% - Accent3 7 5_Exh G" xfId="2292"/>
    <cellStyle name="20% - Accent3 7 6" xfId="3845"/>
    <cellStyle name="20% - Accent3 7_Exh G" xfId="2283"/>
    <cellStyle name="20% - Accent3 8" xfId="170"/>
    <cellStyle name="20% - Accent3 8 2" xfId="171"/>
    <cellStyle name="20% - Accent3 8 2 2" xfId="172"/>
    <cellStyle name="20% - Accent3 8 2 2 2" xfId="1200"/>
    <cellStyle name="20% - Accent3 8 2 2 2 2" xfId="4730"/>
    <cellStyle name="20% - Accent3 8 2 2 2_Exh G" xfId="2296"/>
    <cellStyle name="20% - Accent3 8 2 2 3" xfId="3851"/>
    <cellStyle name="20% - Accent3 8 2 2_Exh G" xfId="2295"/>
    <cellStyle name="20% - Accent3 8 2 3" xfId="1199"/>
    <cellStyle name="20% - Accent3 8 2 3 2" xfId="4729"/>
    <cellStyle name="20% - Accent3 8 2 3_Exh G" xfId="2297"/>
    <cellStyle name="20% - Accent3 8 2 4" xfId="3850"/>
    <cellStyle name="20% - Accent3 8 2_Exh G" xfId="2294"/>
    <cellStyle name="20% - Accent3 8 3" xfId="173"/>
    <cellStyle name="20% - Accent3 8 3 2" xfId="1201"/>
    <cellStyle name="20% - Accent3 8 3 2 2" xfId="4731"/>
    <cellStyle name="20% - Accent3 8 3 2_Exh G" xfId="2299"/>
    <cellStyle name="20% - Accent3 8 3 3" xfId="3852"/>
    <cellStyle name="20% - Accent3 8 3_Exh G" xfId="2298"/>
    <cellStyle name="20% - Accent3 8 4" xfId="896"/>
    <cellStyle name="20% - Accent3 8 4 2" xfId="1827"/>
    <cellStyle name="20% - Accent3 8 4 2 2" xfId="5345"/>
    <cellStyle name="20% - Accent3 8 4 2_Exh G" xfId="2301"/>
    <cellStyle name="20% - Accent3 8 4 3" xfId="4466"/>
    <cellStyle name="20% - Accent3 8 4_Exh G" xfId="2300"/>
    <cellStyle name="20% - Accent3 8 5" xfId="1198"/>
    <cellStyle name="20% - Accent3 8 5 2" xfId="4728"/>
    <cellStyle name="20% - Accent3 8 5_Exh G" xfId="2302"/>
    <cellStyle name="20% - Accent3 8 6" xfId="3849"/>
    <cellStyle name="20% - Accent3 8_Exh G" xfId="2293"/>
    <cellStyle name="20% - Accent3 9" xfId="174"/>
    <cellStyle name="20% - Accent3 9 2" xfId="175"/>
    <cellStyle name="20% - Accent3 9 2 2" xfId="176"/>
    <cellStyle name="20% - Accent3 9 2 2 2" xfId="1204"/>
    <cellStyle name="20% - Accent3 9 2 2 2 2" xfId="4734"/>
    <cellStyle name="20% - Accent3 9 2 2 2_Exh G" xfId="2306"/>
    <cellStyle name="20% - Accent3 9 2 2 3" xfId="3855"/>
    <cellStyle name="20% - Accent3 9 2 2_Exh G" xfId="2305"/>
    <cellStyle name="20% - Accent3 9 2 3" xfId="1203"/>
    <cellStyle name="20% - Accent3 9 2 3 2" xfId="4733"/>
    <cellStyle name="20% - Accent3 9 2 3_Exh G" xfId="2307"/>
    <cellStyle name="20% - Accent3 9 2 4" xfId="3854"/>
    <cellStyle name="20% - Accent3 9 2_Exh G" xfId="2304"/>
    <cellStyle name="20% - Accent3 9 3" xfId="177"/>
    <cellStyle name="20% - Accent3 9 3 2" xfId="1205"/>
    <cellStyle name="20% - Accent3 9 3 2 2" xfId="4735"/>
    <cellStyle name="20% - Accent3 9 3 2_Exh G" xfId="2309"/>
    <cellStyle name="20% - Accent3 9 3 3" xfId="3856"/>
    <cellStyle name="20% - Accent3 9 3_Exh G" xfId="2308"/>
    <cellStyle name="20% - Accent3 9 4" xfId="897"/>
    <cellStyle name="20% - Accent3 9 4 2" xfId="1828"/>
    <cellStyle name="20% - Accent3 9 4 2 2" xfId="5346"/>
    <cellStyle name="20% - Accent3 9 4 2_Exh G" xfId="2311"/>
    <cellStyle name="20% - Accent3 9 4 3" xfId="4467"/>
    <cellStyle name="20% - Accent3 9 4_Exh G" xfId="2310"/>
    <cellStyle name="20% - Accent3 9 5" xfId="1202"/>
    <cellStyle name="20% - Accent3 9 5 2" xfId="4732"/>
    <cellStyle name="20% - Accent3 9 5_Exh G" xfId="2312"/>
    <cellStyle name="20% - Accent3 9 6" xfId="3853"/>
    <cellStyle name="20% - Accent3 9_Exh G" xfId="2303"/>
    <cellStyle name="20% - Accent4 10" xfId="178"/>
    <cellStyle name="20% - Accent4 10 2" xfId="179"/>
    <cellStyle name="20% - Accent4 10 2 2" xfId="180"/>
    <cellStyle name="20% - Accent4 10 2 2 2" xfId="1208"/>
    <cellStyle name="20% - Accent4 10 2 2 2 2" xfId="4738"/>
    <cellStyle name="20% - Accent4 10 2 2 2_Exh G" xfId="2316"/>
    <cellStyle name="20% - Accent4 10 2 2 3" xfId="3859"/>
    <cellStyle name="20% - Accent4 10 2 2_Exh G" xfId="2315"/>
    <cellStyle name="20% - Accent4 10 2 3" xfId="1207"/>
    <cellStyle name="20% - Accent4 10 2 3 2" xfId="4737"/>
    <cellStyle name="20% - Accent4 10 2 3_Exh G" xfId="2317"/>
    <cellStyle name="20% - Accent4 10 2 4" xfId="3858"/>
    <cellStyle name="20% - Accent4 10 2_Exh G" xfId="2314"/>
    <cellStyle name="20% - Accent4 10 3" xfId="181"/>
    <cellStyle name="20% - Accent4 10 3 2" xfId="1209"/>
    <cellStyle name="20% - Accent4 10 3 2 2" xfId="4739"/>
    <cellStyle name="20% - Accent4 10 3 2_Exh G" xfId="2319"/>
    <cellStyle name="20% - Accent4 10 3 3" xfId="3860"/>
    <cellStyle name="20% - Accent4 10 3_Exh G" xfId="2318"/>
    <cellStyle name="20% - Accent4 10 4" xfId="898"/>
    <cellStyle name="20% - Accent4 10 5" xfId="1206"/>
    <cellStyle name="20% - Accent4 10 5 2" xfId="4736"/>
    <cellStyle name="20% - Accent4 10 5_Exh G" xfId="2320"/>
    <cellStyle name="20% - Accent4 10 6" xfId="3857"/>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_Exh G" xfId="2324"/>
    <cellStyle name="20% - Accent4 11 2 2 3" xfId="3863"/>
    <cellStyle name="20% - Accent4 11 2 2_Exh G" xfId="2323"/>
    <cellStyle name="20% - Accent4 11 2 3" xfId="1211"/>
    <cellStyle name="20% - Accent4 11 2 3 2" xfId="4741"/>
    <cellStyle name="20% - Accent4 11 2 3_Exh G" xfId="2325"/>
    <cellStyle name="20% - Accent4 11 2 4" xfId="3862"/>
    <cellStyle name="20% - Accent4 11 2_Exh G" xfId="2322"/>
    <cellStyle name="20% - Accent4 11 3" xfId="185"/>
    <cellStyle name="20% - Accent4 11 3 2" xfId="1213"/>
    <cellStyle name="20% - Accent4 11 3 2 2" xfId="4743"/>
    <cellStyle name="20% - Accent4 11 3 2_Exh G" xfId="2327"/>
    <cellStyle name="20% - Accent4 11 3 3" xfId="3864"/>
    <cellStyle name="20% - Accent4 11 3_Exh G" xfId="2326"/>
    <cellStyle name="20% - Accent4 11 4" xfId="1210"/>
    <cellStyle name="20% - Accent4 11 4 2" xfId="4740"/>
    <cellStyle name="20% - Accent4 11 4_Exh G" xfId="2328"/>
    <cellStyle name="20% - Accent4 11 5" xfId="3861"/>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_Exh G" xfId="2332"/>
    <cellStyle name="20% - Accent4 12 2 2 3" xfId="3867"/>
    <cellStyle name="20% - Accent4 12 2 2_Exh G" xfId="2331"/>
    <cellStyle name="20% - Accent4 12 2 3" xfId="1215"/>
    <cellStyle name="20% - Accent4 12 2 3 2" xfId="4745"/>
    <cellStyle name="20% - Accent4 12 2 3_Exh G" xfId="2333"/>
    <cellStyle name="20% - Accent4 12 2 4" xfId="3866"/>
    <cellStyle name="20% - Accent4 12 2_Exh G" xfId="2330"/>
    <cellStyle name="20% - Accent4 12 3" xfId="189"/>
    <cellStyle name="20% - Accent4 12 3 2" xfId="1217"/>
    <cellStyle name="20% - Accent4 12 3 2 2" xfId="4747"/>
    <cellStyle name="20% - Accent4 12 3 2_Exh G" xfId="2335"/>
    <cellStyle name="20% - Accent4 12 3 3" xfId="3868"/>
    <cellStyle name="20% - Accent4 12 3_Exh G" xfId="2334"/>
    <cellStyle name="20% - Accent4 12 4" xfId="1214"/>
    <cellStyle name="20% - Accent4 12 4 2" xfId="4744"/>
    <cellStyle name="20% - Accent4 12 4_Exh G" xfId="2336"/>
    <cellStyle name="20% - Accent4 12 5" xfId="3865"/>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_Exh G" xfId="2340"/>
    <cellStyle name="20% - Accent4 13 2 2 3" xfId="3871"/>
    <cellStyle name="20% - Accent4 13 2 2_Exh G" xfId="2339"/>
    <cellStyle name="20% - Accent4 13 2 3" xfId="1219"/>
    <cellStyle name="20% - Accent4 13 2 3 2" xfId="4749"/>
    <cellStyle name="20% - Accent4 13 2 3_Exh G" xfId="2341"/>
    <cellStyle name="20% - Accent4 13 2 4" xfId="3870"/>
    <cellStyle name="20% - Accent4 13 2_Exh G" xfId="2338"/>
    <cellStyle name="20% - Accent4 13 3" xfId="193"/>
    <cellStyle name="20% - Accent4 13 3 2" xfId="1221"/>
    <cellStyle name="20% - Accent4 13 3 2 2" xfId="4751"/>
    <cellStyle name="20% - Accent4 13 3 2_Exh G" xfId="2343"/>
    <cellStyle name="20% - Accent4 13 3 3" xfId="3872"/>
    <cellStyle name="20% - Accent4 13 3_Exh G" xfId="2342"/>
    <cellStyle name="20% - Accent4 13 4" xfId="1218"/>
    <cellStyle name="20% - Accent4 13 4 2" xfId="4748"/>
    <cellStyle name="20% - Accent4 13 4_Exh G" xfId="2344"/>
    <cellStyle name="20% - Accent4 13 5" xfId="3869"/>
    <cellStyle name="20% - Accent4 13_Exh G" xfId="2337"/>
    <cellStyle name="20% - Accent4 14" xfId="194"/>
    <cellStyle name="20% - Accent4 14 2" xfId="195"/>
    <cellStyle name="20% - Accent4 14 2 2" xfId="1223"/>
    <cellStyle name="20% - Accent4 14 2 2 2" xfId="4753"/>
    <cellStyle name="20% - Accent4 14 2 2_Exh G" xfId="2347"/>
    <cellStyle name="20% - Accent4 14 2 3" xfId="3874"/>
    <cellStyle name="20% - Accent4 14 2_Exh G" xfId="2346"/>
    <cellStyle name="20% - Accent4 14 3" xfId="1222"/>
    <cellStyle name="20% - Accent4 14 3 2" xfId="4752"/>
    <cellStyle name="20% - Accent4 14 3_Exh G" xfId="2348"/>
    <cellStyle name="20% - Accent4 14 4" xfId="3873"/>
    <cellStyle name="20% - Accent4 14_Exh G" xfId="2345"/>
    <cellStyle name="20% - Accent4 15" xfId="196"/>
    <cellStyle name="20% - Accent4 15 2" xfId="1224"/>
    <cellStyle name="20% - Accent4 15 2 2" xfId="4754"/>
    <cellStyle name="20% - Accent4 15 2_Exh G" xfId="2350"/>
    <cellStyle name="20% - Accent4 15 3" xfId="3875"/>
    <cellStyle name="20% - Accent4 15_Exh G" xfId="2349"/>
    <cellStyle name="20% - Accent4 16" xfId="846"/>
    <cellStyle name="20% - Accent4 16 2" xfId="1785"/>
    <cellStyle name="20% - Accent4 16 2 2" xfId="5306"/>
    <cellStyle name="20% - Accent4 16 2_Exh G" xfId="2352"/>
    <cellStyle name="20% - Accent4 16 3" xfId="4427"/>
    <cellStyle name="20% - Accent4 16_Exh G" xfId="2351"/>
    <cellStyle name="20% - Accent4 2" xfId="197"/>
    <cellStyle name="20% - Accent4 2 2" xfId="198"/>
    <cellStyle name="20% - Accent4 2 2 2" xfId="199"/>
    <cellStyle name="20% - Accent4 2 2 2 2" xfId="1227"/>
    <cellStyle name="20% - Accent4 2 2 2 2 2" xfId="4757"/>
    <cellStyle name="20% - Accent4 2 2 2 2_Exh G" xfId="2356"/>
    <cellStyle name="20% - Accent4 2 2 2 3" xfId="3878"/>
    <cellStyle name="20% - Accent4 2 2 2_Exh G" xfId="2355"/>
    <cellStyle name="20% - Accent4 2 2 3" xfId="900"/>
    <cellStyle name="20% - Accent4 2 2 3 2" xfId="1830"/>
    <cellStyle name="20% - Accent4 2 2 3 2 2" xfId="5348"/>
    <cellStyle name="20% - Accent4 2 2 3 2_Exh G" xfId="2358"/>
    <cellStyle name="20% - Accent4 2 2 3 3" xfId="4469"/>
    <cellStyle name="20% - Accent4 2 2 3_Exh G" xfId="2357"/>
    <cellStyle name="20% - Accent4 2 2 4" xfId="1226"/>
    <cellStyle name="20% - Accent4 2 2 4 2" xfId="4756"/>
    <cellStyle name="20% - Accent4 2 2 4_Exh G" xfId="2359"/>
    <cellStyle name="20% - Accent4 2 2 5" xfId="3877"/>
    <cellStyle name="20% - Accent4 2 2_Exh G" xfId="2354"/>
    <cellStyle name="20% - Accent4 2 3" xfId="200"/>
    <cellStyle name="20% - Accent4 2 3 2" xfId="1228"/>
    <cellStyle name="20% - Accent4 2 3 2 2" xfId="4758"/>
    <cellStyle name="20% - Accent4 2 3 2_Exh G" xfId="2361"/>
    <cellStyle name="20% - Accent4 2 3 3" xfId="3879"/>
    <cellStyle name="20% - Accent4 2 3_Exh G" xfId="2360"/>
    <cellStyle name="20% - Accent4 2 4" xfId="899"/>
    <cellStyle name="20% - Accent4 2 4 2" xfId="1829"/>
    <cellStyle name="20% - Accent4 2 4 2 2" xfId="5347"/>
    <cellStyle name="20% - Accent4 2 4 2_Exh G" xfId="2363"/>
    <cellStyle name="20% - Accent4 2 4 3" xfId="4468"/>
    <cellStyle name="20% - Accent4 2 4_Exh G" xfId="2362"/>
    <cellStyle name="20% - Accent4 2 5" xfId="1225"/>
    <cellStyle name="20% - Accent4 2 5 2" xfId="4755"/>
    <cellStyle name="20% - Accent4 2 5_Exh G" xfId="2364"/>
    <cellStyle name="20% - Accent4 2 6" xfId="3876"/>
    <cellStyle name="20% - Accent4 2_Exh G" xfId="2353"/>
    <cellStyle name="20% - Accent4 3" xfId="201"/>
    <cellStyle name="20% - Accent4 3 2" xfId="202"/>
    <cellStyle name="20% - Accent4 3 2 2" xfId="203"/>
    <cellStyle name="20% - Accent4 3 2 2 2" xfId="1231"/>
    <cellStyle name="20% - Accent4 3 2 2 2 2" xfId="4761"/>
    <cellStyle name="20% - Accent4 3 2 2 2_Exh G" xfId="2368"/>
    <cellStyle name="20% - Accent4 3 2 2 3" xfId="3882"/>
    <cellStyle name="20% - Accent4 3 2 2_Exh G" xfId="2367"/>
    <cellStyle name="20% - Accent4 3 2 3" xfId="902"/>
    <cellStyle name="20% - Accent4 3 2 3 2" xfId="1832"/>
    <cellStyle name="20% - Accent4 3 2 3 2 2" xfId="5350"/>
    <cellStyle name="20% - Accent4 3 2 3 2_Exh G" xfId="2370"/>
    <cellStyle name="20% - Accent4 3 2 3 3" xfId="4471"/>
    <cellStyle name="20% - Accent4 3 2 3_Exh G" xfId="2369"/>
    <cellStyle name="20% - Accent4 3 2 4" xfId="1230"/>
    <cellStyle name="20% - Accent4 3 2 4 2" xfId="4760"/>
    <cellStyle name="20% - Accent4 3 2 4_Exh G" xfId="2371"/>
    <cellStyle name="20% - Accent4 3 2 5" xfId="3881"/>
    <cellStyle name="20% - Accent4 3 2_Exh G" xfId="2366"/>
    <cellStyle name="20% - Accent4 3 3" xfId="204"/>
    <cellStyle name="20% - Accent4 3 3 2" xfId="1232"/>
    <cellStyle name="20% - Accent4 3 3 2 2" xfId="4762"/>
    <cellStyle name="20% - Accent4 3 3 2_Exh G" xfId="2373"/>
    <cellStyle name="20% - Accent4 3 3 3" xfId="3883"/>
    <cellStyle name="20% - Accent4 3 3_Exh G" xfId="2372"/>
    <cellStyle name="20% - Accent4 3 4" xfId="901"/>
    <cellStyle name="20% - Accent4 3 4 2" xfId="1831"/>
    <cellStyle name="20% - Accent4 3 4 2 2" xfId="5349"/>
    <cellStyle name="20% - Accent4 3 4 2_Exh G" xfId="2375"/>
    <cellStyle name="20% - Accent4 3 4 3" xfId="4470"/>
    <cellStyle name="20% - Accent4 3 4_Exh G" xfId="2374"/>
    <cellStyle name="20% - Accent4 3 5" xfId="1229"/>
    <cellStyle name="20% - Accent4 3 5 2" xfId="4759"/>
    <cellStyle name="20% - Accent4 3 5_Exh G" xfId="2376"/>
    <cellStyle name="20% - Accent4 3 6" xfId="3880"/>
    <cellStyle name="20% - Accent4 3_Exh G" xfId="2365"/>
    <cellStyle name="20% - Accent4 4" xfId="205"/>
    <cellStyle name="20% - Accent4 4 2" xfId="206"/>
    <cellStyle name="20% - Accent4 4 2 2" xfId="207"/>
    <cellStyle name="20% - Accent4 4 2 2 2" xfId="1235"/>
    <cellStyle name="20% - Accent4 4 2 2 2 2" xfId="4765"/>
    <cellStyle name="20% - Accent4 4 2 2 2_Exh G" xfId="2380"/>
    <cellStyle name="20% - Accent4 4 2 2 3" xfId="3886"/>
    <cellStyle name="20% - Accent4 4 2 2_Exh G" xfId="2379"/>
    <cellStyle name="20% - Accent4 4 2 3" xfId="904"/>
    <cellStyle name="20% - Accent4 4 2 3 2" xfId="1834"/>
    <cellStyle name="20% - Accent4 4 2 3 2 2" xfId="5352"/>
    <cellStyle name="20% - Accent4 4 2 3 2_Exh G" xfId="2382"/>
    <cellStyle name="20% - Accent4 4 2 3 3" xfId="4473"/>
    <cellStyle name="20% - Accent4 4 2 3_Exh G" xfId="2381"/>
    <cellStyle name="20% - Accent4 4 2 4" xfId="1234"/>
    <cellStyle name="20% - Accent4 4 2 4 2" xfId="4764"/>
    <cellStyle name="20% - Accent4 4 2 4_Exh G" xfId="2383"/>
    <cellStyle name="20% - Accent4 4 2 5" xfId="3885"/>
    <cellStyle name="20% - Accent4 4 2_Exh G" xfId="2378"/>
    <cellStyle name="20% - Accent4 4 3" xfId="208"/>
    <cellStyle name="20% - Accent4 4 3 2" xfId="1236"/>
    <cellStyle name="20% - Accent4 4 3 2 2" xfId="4766"/>
    <cellStyle name="20% - Accent4 4 3 2_Exh G" xfId="2385"/>
    <cellStyle name="20% - Accent4 4 3 3" xfId="3887"/>
    <cellStyle name="20% - Accent4 4 3_Exh G" xfId="2384"/>
    <cellStyle name="20% - Accent4 4 4" xfId="903"/>
    <cellStyle name="20% - Accent4 4 4 2" xfId="1833"/>
    <cellStyle name="20% - Accent4 4 4 2 2" xfId="5351"/>
    <cellStyle name="20% - Accent4 4 4 2_Exh G" xfId="2387"/>
    <cellStyle name="20% - Accent4 4 4 3" xfId="4472"/>
    <cellStyle name="20% - Accent4 4 4_Exh G" xfId="2386"/>
    <cellStyle name="20% - Accent4 4 5" xfId="1233"/>
    <cellStyle name="20% - Accent4 4 5 2" xfId="4763"/>
    <cellStyle name="20% - Accent4 4 5_Exh G" xfId="2388"/>
    <cellStyle name="20% - Accent4 4 6" xfId="3884"/>
    <cellStyle name="20% - Accent4 4_Exh G" xfId="2377"/>
    <cellStyle name="20% - Accent4 5" xfId="209"/>
    <cellStyle name="20% - Accent4 5 2" xfId="210"/>
    <cellStyle name="20% - Accent4 5 2 2" xfId="211"/>
    <cellStyle name="20% - Accent4 5 2 2 2" xfId="1239"/>
    <cellStyle name="20% - Accent4 5 2 2 2 2" xfId="4769"/>
    <cellStyle name="20% - Accent4 5 2 2 2_Exh G" xfId="2392"/>
    <cellStyle name="20% - Accent4 5 2 2 3" xfId="3890"/>
    <cellStyle name="20% - Accent4 5 2 2_Exh G" xfId="2391"/>
    <cellStyle name="20% - Accent4 5 2 3" xfId="1238"/>
    <cellStyle name="20% - Accent4 5 2 3 2" xfId="4768"/>
    <cellStyle name="20% - Accent4 5 2 3_Exh G" xfId="2393"/>
    <cellStyle name="20% - Accent4 5 2 4" xfId="3889"/>
    <cellStyle name="20% - Accent4 5 2_Exh G" xfId="2390"/>
    <cellStyle name="20% - Accent4 5 3" xfId="212"/>
    <cellStyle name="20% - Accent4 5 3 2" xfId="1240"/>
    <cellStyle name="20% - Accent4 5 3 2 2" xfId="4770"/>
    <cellStyle name="20% - Accent4 5 3 2_Exh G" xfId="2395"/>
    <cellStyle name="20% - Accent4 5 3 3" xfId="3891"/>
    <cellStyle name="20% - Accent4 5 3_Exh G" xfId="2394"/>
    <cellStyle name="20% - Accent4 5 4" xfId="905"/>
    <cellStyle name="20% - Accent4 5 5" xfId="1237"/>
    <cellStyle name="20% - Accent4 5 5 2" xfId="4767"/>
    <cellStyle name="20% - Accent4 5 5_Exh G" xfId="2396"/>
    <cellStyle name="20% - Accent4 5 6" xfId="3888"/>
    <cellStyle name="20% - Accent4 5_Exh G" xfId="2389"/>
    <cellStyle name="20% - Accent4 6" xfId="213"/>
    <cellStyle name="20% - Accent4 6 2" xfId="214"/>
    <cellStyle name="20% - Accent4 6 2 2" xfId="215"/>
    <cellStyle name="20% - Accent4 6 2 2 2" xfId="1243"/>
    <cellStyle name="20% - Accent4 6 2 2 2 2" xfId="4773"/>
    <cellStyle name="20% - Accent4 6 2 2 2_Exh G" xfId="2400"/>
    <cellStyle name="20% - Accent4 6 2 2 3" xfId="3894"/>
    <cellStyle name="20% - Accent4 6 2 2_Exh G" xfId="2399"/>
    <cellStyle name="20% - Accent4 6 2 3" xfId="1242"/>
    <cellStyle name="20% - Accent4 6 2 3 2" xfId="4772"/>
    <cellStyle name="20% - Accent4 6 2 3_Exh G" xfId="2401"/>
    <cellStyle name="20% - Accent4 6 2 4" xfId="3893"/>
    <cellStyle name="20% - Accent4 6 2_Exh G" xfId="2398"/>
    <cellStyle name="20% - Accent4 6 3" xfId="216"/>
    <cellStyle name="20% - Accent4 6 3 2" xfId="1244"/>
    <cellStyle name="20% - Accent4 6 3 2 2" xfId="4774"/>
    <cellStyle name="20% - Accent4 6 3 2_Exh G" xfId="2403"/>
    <cellStyle name="20% - Accent4 6 3 3" xfId="3895"/>
    <cellStyle name="20% - Accent4 6 3_Exh G" xfId="2402"/>
    <cellStyle name="20% - Accent4 6 4" xfId="906"/>
    <cellStyle name="20% - Accent4 6 4 2" xfId="1835"/>
    <cellStyle name="20% - Accent4 6 4 2 2" xfId="5353"/>
    <cellStyle name="20% - Accent4 6 4 2_Exh G" xfId="2405"/>
    <cellStyle name="20% - Accent4 6 4 3" xfId="4474"/>
    <cellStyle name="20% - Accent4 6 4_Exh G" xfId="2404"/>
    <cellStyle name="20% - Accent4 6 5" xfId="1241"/>
    <cellStyle name="20% - Accent4 6 5 2" xfId="4771"/>
    <cellStyle name="20% - Accent4 6 5_Exh G" xfId="2406"/>
    <cellStyle name="20% - Accent4 6 6" xfId="3892"/>
    <cellStyle name="20% - Accent4 6_Exh G" xfId="2397"/>
    <cellStyle name="20% - Accent4 7" xfId="217"/>
    <cellStyle name="20% - Accent4 7 2" xfId="218"/>
    <cellStyle name="20% - Accent4 7 2 2" xfId="219"/>
    <cellStyle name="20% - Accent4 7 2 2 2" xfId="1247"/>
    <cellStyle name="20% - Accent4 7 2 2 2 2" xfId="4777"/>
    <cellStyle name="20% - Accent4 7 2 2 2_Exh G" xfId="2410"/>
    <cellStyle name="20% - Accent4 7 2 2 3" xfId="3898"/>
    <cellStyle name="20% - Accent4 7 2 2_Exh G" xfId="2409"/>
    <cellStyle name="20% - Accent4 7 2 3" xfId="1246"/>
    <cellStyle name="20% - Accent4 7 2 3 2" xfId="4776"/>
    <cellStyle name="20% - Accent4 7 2 3_Exh G" xfId="2411"/>
    <cellStyle name="20% - Accent4 7 2 4" xfId="3897"/>
    <cellStyle name="20% - Accent4 7 2_Exh G" xfId="2408"/>
    <cellStyle name="20% - Accent4 7 3" xfId="220"/>
    <cellStyle name="20% - Accent4 7 3 2" xfId="1248"/>
    <cellStyle name="20% - Accent4 7 3 2 2" xfId="4778"/>
    <cellStyle name="20% - Accent4 7 3 2_Exh G" xfId="2413"/>
    <cellStyle name="20% - Accent4 7 3 3" xfId="3899"/>
    <cellStyle name="20% - Accent4 7 3_Exh G" xfId="2412"/>
    <cellStyle name="20% - Accent4 7 4" xfId="907"/>
    <cellStyle name="20% - Accent4 7 4 2" xfId="1836"/>
    <cellStyle name="20% - Accent4 7 4 2 2" xfId="5354"/>
    <cellStyle name="20% - Accent4 7 4 2_Exh G" xfId="2415"/>
    <cellStyle name="20% - Accent4 7 4 3" xfId="4475"/>
    <cellStyle name="20% - Accent4 7 4_Exh G" xfId="2414"/>
    <cellStyle name="20% - Accent4 7 5" xfId="1245"/>
    <cellStyle name="20% - Accent4 7 5 2" xfId="4775"/>
    <cellStyle name="20% - Accent4 7 5_Exh G" xfId="2416"/>
    <cellStyle name="20% - Accent4 7 6" xfId="3896"/>
    <cellStyle name="20% - Accent4 7_Exh G" xfId="2407"/>
    <cellStyle name="20% - Accent4 8" xfId="221"/>
    <cellStyle name="20% - Accent4 8 2" xfId="222"/>
    <cellStyle name="20% - Accent4 8 2 2" xfId="223"/>
    <cellStyle name="20% - Accent4 8 2 2 2" xfId="1251"/>
    <cellStyle name="20% - Accent4 8 2 2 2 2" xfId="4781"/>
    <cellStyle name="20% - Accent4 8 2 2 2_Exh G" xfId="2420"/>
    <cellStyle name="20% - Accent4 8 2 2 3" xfId="3902"/>
    <cellStyle name="20% - Accent4 8 2 2_Exh G" xfId="2419"/>
    <cellStyle name="20% - Accent4 8 2 3" xfId="1250"/>
    <cellStyle name="20% - Accent4 8 2 3 2" xfId="4780"/>
    <cellStyle name="20% - Accent4 8 2 3_Exh G" xfId="2421"/>
    <cellStyle name="20% - Accent4 8 2 4" xfId="3901"/>
    <cellStyle name="20% - Accent4 8 2_Exh G" xfId="2418"/>
    <cellStyle name="20% - Accent4 8 3" xfId="224"/>
    <cellStyle name="20% - Accent4 8 3 2" xfId="1252"/>
    <cellStyle name="20% - Accent4 8 3 2 2" xfId="4782"/>
    <cellStyle name="20% - Accent4 8 3 2_Exh G" xfId="2423"/>
    <cellStyle name="20% - Accent4 8 3 3" xfId="3903"/>
    <cellStyle name="20% - Accent4 8 3_Exh G" xfId="2422"/>
    <cellStyle name="20% - Accent4 8 4" xfId="908"/>
    <cellStyle name="20% - Accent4 8 4 2" xfId="1837"/>
    <cellStyle name="20% - Accent4 8 4 2 2" xfId="5355"/>
    <cellStyle name="20% - Accent4 8 4 2_Exh G" xfId="2425"/>
    <cellStyle name="20% - Accent4 8 4 3" xfId="4476"/>
    <cellStyle name="20% - Accent4 8 4_Exh G" xfId="2424"/>
    <cellStyle name="20% - Accent4 8 5" xfId="1249"/>
    <cellStyle name="20% - Accent4 8 5 2" xfId="4779"/>
    <cellStyle name="20% - Accent4 8 5_Exh G" xfId="2426"/>
    <cellStyle name="20% - Accent4 8 6" xfId="3900"/>
    <cellStyle name="20% - Accent4 8_Exh G" xfId="2417"/>
    <cellStyle name="20% - Accent4 9" xfId="225"/>
    <cellStyle name="20% - Accent4 9 2" xfId="226"/>
    <cellStyle name="20% - Accent4 9 2 2" xfId="227"/>
    <cellStyle name="20% - Accent4 9 2 2 2" xfId="1255"/>
    <cellStyle name="20% - Accent4 9 2 2 2 2" xfId="4785"/>
    <cellStyle name="20% - Accent4 9 2 2 2_Exh G" xfId="2430"/>
    <cellStyle name="20% - Accent4 9 2 2 3" xfId="3906"/>
    <cellStyle name="20% - Accent4 9 2 2_Exh G" xfId="2429"/>
    <cellStyle name="20% - Accent4 9 2 3" xfId="1254"/>
    <cellStyle name="20% - Accent4 9 2 3 2" xfId="4784"/>
    <cellStyle name="20% - Accent4 9 2 3_Exh G" xfId="2431"/>
    <cellStyle name="20% - Accent4 9 2 4" xfId="3905"/>
    <cellStyle name="20% - Accent4 9 2_Exh G" xfId="2428"/>
    <cellStyle name="20% - Accent4 9 3" xfId="228"/>
    <cellStyle name="20% - Accent4 9 3 2" xfId="1256"/>
    <cellStyle name="20% - Accent4 9 3 2 2" xfId="4786"/>
    <cellStyle name="20% - Accent4 9 3 2_Exh G" xfId="2433"/>
    <cellStyle name="20% - Accent4 9 3 3" xfId="3907"/>
    <cellStyle name="20% - Accent4 9 3_Exh G" xfId="2432"/>
    <cellStyle name="20% - Accent4 9 4" xfId="909"/>
    <cellStyle name="20% - Accent4 9 4 2" xfId="1838"/>
    <cellStyle name="20% - Accent4 9 4 2 2" xfId="5356"/>
    <cellStyle name="20% - Accent4 9 4 2_Exh G" xfId="2435"/>
    <cellStyle name="20% - Accent4 9 4 3" xfId="4477"/>
    <cellStyle name="20% - Accent4 9 4_Exh G" xfId="2434"/>
    <cellStyle name="20% - Accent4 9 5" xfId="1253"/>
    <cellStyle name="20% - Accent4 9 5 2" xfId="4783"/>
    <cellStyle name="20% - Accent4 9 5_Exh G" xfId="2436"/>
    <cellStyle name="20% - Accent4 9 6" xfId="3904"/>
    <cellStyle name="20% - Accent4 9_Exh G" xfId="2427"/>
    <cellStyle name="20% - Accent5 10" xfId="229"/>
    <cellStyle name="20% - Accent5 10 2" xfId="230"/>
    <cellStyle name="20% - Accent5 10 2 2" xfId="231"/>
    <cellStyle name="20% - Accent5 10 2 2 2" xfId="1259"/>
    <cellStyle name="20% - Accent5 10 2 2 2 2" xfId="4789"/>
    <cellStyle name="20% - Accent5 10 2 2 2_Exh G" xfId="2440"/>
    <cellStyle name="20% - Accent5 10 2 2 3" xfId="3910"/>
    <cellStyle name="20% - Accent5 10 2 2_Exh G" xfId="2439"/>
    <cellStyle name="20% - Accent5 10 2 3" xfId="1258"/>
    <cellStyle name="20% - Accent5 10 2 3 2" xfId="4788"/>
    <cellStyle name="20% - Accent5 10 2 3_Exh G" xfId="2441"/>
    <cellStyle name="20% - Accent5 10 2 4" xfId="3909"/>
    <cellStyle name="20% - Accent5 10 2_Exh G" xfId="2438"/>
    <cellStyle name="20% - Accent5 10 3" xfId="232"/>
    <cellStyle name="20% - Accent5 10 3 2" xfId="1260"/>
    <cellStyle name="20% - Accent5 10 3 2 2" xfId="4790"/>
    <cellStyle name="20% - Accent5 10 3 2_Exh G" xfId="2443"/>
    <cellStyle name="20% - Accent5 10 3 3" xfId="3911"/>
    <cellStyle name="20% - Accent5 10 3_Exh G" xfId="2442"/>
    <cellStyle name="20% - Accent5 10 4" xfId="910"/>
    <cellStyle name="20% - Accent5 10 5" xfId="1257"/>
    <cellStyle name="20% - Accent5 10 5 2" xfId="4787"/>
    <cellStyle name="20% - Accent5 10 5_Exh G" xfId="2444"/>
    <cellStyle name="20% - Accent5 10 6" xfId="3908"/>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_Exh G" xfId="2448"/>
    <cellStyle name="20% - Accent5 11 2 2 3" xfId="3914"/>
    <cellStyle name="20% - Accent5 11 2 2_Exh G" xfId="2447"/>
    <cellStyle name="20% - Accent5 11 2 3" xfId="1262"/>
    <cellStyle name="20% - Accent5 11 2 3 2" xfId="4792"/>
    <cellStyle name="20% - Accent5 11 2 3_Exh G" xfId="2449"/>
    <cellStyle name="20% - Accent5 11 2 4" xfId="3913"/>
    <cellStyle name="20% - Accent5 11 2_Exh G" xfId="2446"/>
    <cellStyle name="20% - Accent5 11 3" xfId="236"/>
    <cellStyle name="20% - Accent5 11 3 2" xfId="1264"/>
    <cellStyle name="20% - Accent5 11 3 2 2" xfId="4794"/>
    <cellStyle name="20% - Accent5 11 3 2_Exh G" xfId="2451"/>
    <cellStyle name="20% - Accent5 11 3 3" xfId="3915"/>
    <cellStyle name="20% - Accent5 11 3_Exh G" xfId="2450"/>
    <cellStyle name="20% - Accent5 11 4" xfId="1261"/>
    <cellStyle name="20% - Accent5 11 4 2" xfId="4791"/>
    <cellStyle name="20% - Accent5 11 4_Exh G" xfId="2452"/>
    <cellStyle name="20% - Accent5 11 5" xfId="3912"/>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_Exh G" xfId="2456"/>
    <cellStyle name="20% - Accent5 12 2 2 3" xfId="3918"/>
    <cellStyle name="20% - Accent5 12 2 2_Exh G" xfId="2455"/>
    <cellStyle name="20% - Accent5 12 2 3" xfId="1266"/>
    <cellStyle name="20% - Accent5 12 2 3 2" xfId="4796"/>
    <cellStyle name="20% - Accent5 12 2 3_Exh G" xfId="2457"/>
    <cellStyle name="20% - Accent5 12 2 4" xfId="3917"/>
    <cellStyle name="20% - Accent5 12 2_Exh G" xfId="2454"/>
    <cellStyle name="20% - Accent5 12 3" xfId="240"/>
    <cellStyle name="20% - Accent5 12 3 2" xfId="1268"/>
    <cellStyle name="20% - Accent5 12 3 2 2" xfId="4798"/>
    <cellStyle name="20% - Accent5 12 3 2_Exh G" xfId="2459"/>
    <cellStyle name="20% - Accent5 12 3 3" xfId="3919"/>
    <cellStyle name="20% - Accent5 12 3_Exh G" xfId="2458"/>
    <cellStyle name="20% - Accent5 12 4" xfId="1265"/>
    <cellStyle name="20% - Accent5 12 4 2" xfId="4795"/>
    <cellStyle name="20% - Accent5 12 4_Exh G" xfId="2460"/>
    <cellStyle name="20% - Accent5 12 5" xfId="3916"/>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_Exh G" xfId="2464"/>
    <cellStyle name="20% - Accent5 13 2 2 3" xfId="3922"/>
    <cellStyle name="20% - Accent5 13 2 2_Exh G" xfId="2463"/>
    <cellStyle name="20% - Accent5 13 2 3" xfId="1270"/>
    <cellStyle name="20% - Accent5 13 2 3 2" xfId="4800"/>
    <cellStyle name="20% - Accent5 13 2 3_Exh G" xfId="2465"/>
    <cellStyle name="20% - Accent5 13 2 4" xfId="3921"/>
    <cellStyle name="20% - Accent5 13 2_Exh G" xfId="2462"/>
    <cellStyle name="20% - Accent5 13 3" xfId="244"/>
    <cellStyle name="20% - Accent5 13 3 2" xfId="1272"/>
    <cellStyle name="20% - Accent5 13 3 2 2" xfId="4802"/>
    <cellStyle name="20% - Accent5 13 3 2_Exh G" xfId="2467"/>
    <cellStyle name="20% - Accent5 13 3 3" xfId="3923"/>
    <cellStyle name="20% - Accent5 13 3_Exh G" xfId="2466"/>
    <cellStyle name="20% - Accent5 13 4" xfId="1269"/>
    <cellStyle name="20% - Accent5 13 4 2" xfId="4799"/>
    <cellStyle name="20% - Accent5 13 4_Exh G" xfId="2468"/>
    <cellStyle name="20% - Accent5 13 5" xfId="3920"/>
    <cellStyle name="20% - Accent5 13_Exh G" xfId="2461"/>
    <cellStyle name="20% - Accent5 14" xfId="245"/>
    <cellStyle name="20% - Accent5 14 2" xfId="246"/>
    <cellStyle name="20% - Accent5 14 2 2" xfId="1274"/>
    <cellStyle name="20% - Accent5 14 2 2 2" xfId="4804"/>
    <cellStyle name="20% - Accent5 14 2 2_Exh G" xfId="2471"/>
    <cellStyle name="20% - Accent5 14 2 3" xfId="3925"/>
    <cellStyle name="20% - Accent5 14 2_Exh G" xfId="2470"/>
    <cellStyle name="20% - Accent5 14 3" xfId="1273"/>
    <cellStyle name="20% - Accent5 14 3 2" xfId="4803"/>
    <cellStyle name="20% - Accent5 14 3_Exh G" xfId="2472"/>
    <cellStyle name="20% - Accent5 14 4" xfId="3924"/>
    <cellStyle name="20% - Accent5 14_Exh G" xfId="2469"/>
    <cellStyle name="20% - Accent5 15" xfId="247"/>
    <cellStyle name="20% - Accent5 15 2" xfId="1275"/>
    <cellStyle name="20% - Accent5 15 2 2" xfId="4805"/>
    <cellStyle name="20% - Accent5 15 2_Exh G" xfId="2474"/>
    <cellStyle name="20% - Accent5 15 3" xfId="3926"/>
    <cellStyle name="20% - Accent5 15_Exh G" xfId="2473"/>
    <cellStyle name="20% - Accent5 16" xfId="847"/>
    <cellStyle name="20% - Accent5 16 2" xfId="1786"/>
    <cellStyle name="20% - Accent5 16 2 2" xfId="5307"/>
    <cellStyle name="20% - Accent5 16 2_Exh G" xfId="2476"/>
    <cellStyle name="20% - Accent5 16 3" xfId="4428"/>
    <cellStyle name="20% - Accent5 16_Exh G" xfId="2475"/>
    <cellStyle name="20% - Accent5 2" xfId="248"/>
    <cellStyle name="20% - Accent5 2 2" xfId="249"/>
    <cellStyle name="20% - Accent5 2 2 2" xfId="250"/>
    <cellStyle name="20% - Accent5 2 2 2 2" xfId="1278"/>
    <cellStyle name="20% - Accent5 2 2 2 2 2" xfId="4808"/>
    <cellStyle name="20% - Accent5 2 2 2 2_Exh G" xfId="2480"/>
    <cellStyle name="20% - Accent5 2 2 2 3" xfId="3929"/>
    <cellStyle name="20% - Accent5 2 2 2_Exh G" xfId="2479"/>
    <cellStyle name="20% - Accent5 2 2 3" xfId="912"/>
    <cellStyle name="20% - Accent5 2 2 3 2" xfId="1840"/>
    <cellStyle name="20% - Accent5 2 2 3 2 2" xfId="5358"/>
    <cellStyle name="20% - Accent5 2 2 3 2_Exh G" xfId="2482"/>
    <cellStyle name="20% - Accent5 2 2 3 3" xfId="4479"/>
    <cellStyle name="20% - Accent5 2 2 3_Exh G" xfId="2481"/>
    <cellStyle name="20% - Accent5 2 2 4" xfId="1277"/>
    <cellStyle name="20% - Accent5 2 2 4 2" xfId="4807"/>
    <cellStyle name="20% - Accent5 2 2 4_Exh G" xfId="2483"/>
    <cellStyle name="20% - Accent5 2 2 5" xfId="3928"/>
    <cellStyle name="20% - Accent5 2 2_Exh G" xfId="2478"/>
    <cellStyle name="20% - Accent5 2 3" xfId="251"/>
    <cellStyle name="20% - Accent5 2 3 2" xfId="1279"/>
    <cellStyle name="20% - Accent5 2 3 2 2" xfId="4809"/>
    <cellStyle name="20% - Accent5 2 3 2_Exh G" xfId="2485"/>
    <cellStyle name="20% - Accent5 2 3 3" xfId="3930"/>
    <cellStyle name="20% - Accent5 2 3_Exh G" xfId="2484"/>
    <cellStyle name="20% - Accent5 2 4" xfId="911"/>
    <cellStyle name="20% - Accent5 2 4 2" xfId="1839"/>
    <cellStyle name="20% - Accent5 2 4 2 2" xfId="5357"/>
    <cellStyle name="20% - Accent5 2 4 2_Exh G" xfId="2487"/>
    <cellStyle name="20% - Accent5 2 4 3" xfId="4478"/>
    <cellStyle name="20% - Accent5 2 4_Exh G" xfId="2486"/>
    <cellStyle name="20% - Accent5 2 5" xfId="1276"/>
    <cellStyle name="20% - Accent5 2 5 2" xfId="4806"/>
    <cellStyle name="20% - Accent5 2 5_Exh G" xfId="2488"/>
    <cellStyle name="20% - Accent5 2 6" xfId="3927"/>
    <cellStyle name="20% - Accent5 2_Exh G" xfId="2477"/>
    <cellStyle name="20% - Accent5 3" xfId="252"/>
    <cellStyle name="20% - Accent5 3 2" xfId="253"/>
    <cellStyle name="20% - Accent5 3 2 2" xfId="254"/>
    <cellStyle name="20% - Accent5 3 2 2 2" xfId="1282"/>
    <cellStyle name="20% - Accent5 3 2 2 2 2" xfId="4812"/>
    <cellStyle name="20% - Accent5 3 2 2 2_Exh G" xfId="2492"/>
    <cellStyle name="20% - Accent5 3 2 2 3" xfId="3933"/>
    <cellStyle name="20% - Accent5 3 2 2_Exh G" xfId="2491"/>
    <cellStyle name="20% - Accent5 3 2 3" xfId="914"/>
    <cellStyle name="20% - Accent5 3 2 3 2" xfId="1842"/>
    <cellStyle name="20% - Accent5 3 2 3 2 2" xfId="5360"/>
    <cellStyle name="20% - Accent5 3 2 3 2_Exh G" xfId="2494"/>
    <cellStyle name="20% - Accent5 3 2 3 3" xfId="4481"/>
    <cellStyle name="20% - Accent5 3 2 3_Exh G" xfId="2493"/>
    <cellStyle name="20% - Accent5 3 2 4" xfId="1281"/>
    <cellStyle name="20% - Accent5 3 2 4 2" xfId="4811"/>
    <cellStyle name="20% - Accent5 3 2 4_Exh G" xfId="2495"/>
    <cellStyle name="20% - Accent5 3 2 5" xfId="3932"/>
    <cellStyle name="20% - Accent5 3 2_Exh G" xfId="2490"/>
    <cellStyle name="20% - Accent5 3 3" xfId="255"/>
    <cellStyle name="20% - Accent5 3 3 2" xfId="1283"/>
    <cellStyle name="20% - Accent5 3 3 2 2" xfId="4813"/>
    <cellStyle name="20% - Accent5 3 3 2_Exh G" xfId="2497"/>
    <cellStyle name="20% - Accent5 3 3 3" xfId="3934"/>
    <cellStyle name="20% - Accent5 3 3_Exh G" xfId="2496"/>
    <cellStyle name="20% - Accent5 3 4" xfId="913"/>
    <cellStyle name="20% - Accent5 3 4 2" xfId="1841"/>
    <cellStyle name="20% - Accent5 3 4 2 2" xfId="5359"/>
    <cellStyle name="20% - Accent5 3 4 2_Exh G" xfId="2499"/>
    <cellStyle name="20% - Accent5 3 4 3" xfId="4480"/>
    <cellStyle name="20% - Accent5 3 4_Exh G" xfId="2498"/>
    <cellStyle name="20% - Accent5 3 5" xfId="1280"/>
    <cellStyle name="20% - Accent5 3 5 2" xfId="4810"/>
    <cellStyle name="20% - Accent5 3 5_Exh G" xfId="2500"/>
    <cellStyle name="20% - Accent5 3 6" xfId="3931"/>
    <cellStyle name="20% - Accent5 3_Exh G" xfId="2489"/>
    <cellStyle name="20% - Accent5 4" xfId="256"/>
    <cellStyle name="20% - Accent5 4 2" xfId="257"/>
    <cellStyle name="20% - Accent5 4 2 2" xfId="258"/>
    <cellStyle name="20% - Accent5 4 2 2 2" xfId="1286"/>
    <cellStyle name="20% - Accent5 4 2 2 2 2" xfId="4816"/>
    <cellStyle name="20% - Accent5 4 2 2 2_Exh G" xfId="2504"/>
    <cellStyle name="20% - Accent5 4 2 2 3" xfId="3937"/>
    <cellStyle name="20% - Accent5 4 2 2_Exh G" xfId="2503"/>
    <cellStyle name="20% - Accent5 4 2 3" xfId="916"/>
    <cellStyle name="20% - Accent5 4 2 3 2" xfId="1844"/>
    <cellStyle name="20% - Accent5 4 2 3 2 2" xfId="5362"/>
    <cellStyle name="20% - Accent5 4 2 3 2_Exh G" xfId="2506"/>
    <cellStyle name="20% - Accent5 4 2 3 3" xfId="4483"/>
    <cellStyle name="20% - Accent5 4 2 3_Exh G" xfId="2505"/>
    <cellStyle name="20% - Accent5 4 2 4" xfId="1285"/>
    <cellStyle name="20% - Accent5 4 2 4 2" xfId="4815"/>
    <cellStyle name="20% - Accent5 4 2 4_Exh G" xfId="2507"/>
    <cellStyle name="20% - Accent5 4 2 5" xfId="3936"/>
    <cellStyle name="20% - Accent5 4 2_Exh G" xfId="2502"/>
    <cellStyle name="20% - Accent5 4 3" xfId="259"/>
    <cellStyle name="20% - Accent5 4 3 2" xfId="1287"/>
    <cellStyle name="20% - Accent5 4 3 2 2" xfId="4817"/>
    <cellStyle name="20% - Accent5 4 3 2_Exh G" xfId="2509"/>
    <cellStyle name="20% - Accent5 4 3 3" xfId="3938"/>
    <cellStyle name="20% - Accent5 4 3_Exh G" xfId="2508"/>
    <cellStyle name="20% - Accent5 4 4" xfId="915"/>
    <cellStyle name="20% - Accent5 4 4 2" xfId="1843"/>
    <cellStyle name="20% - Accent5 4 4 2 2" xfId="5361"/>
    <cellStyle name="20% - Accent5 4 4 2_Exh G" xfId="2511"/>
    <cellStyle name="20% - Accent5 4 4 3" xfId="4482"/>
    <cellStyle name="20% - Accent5 4 4_Exh G" xfId="2510"/>
    <cellStyle name="20% - Accent5 4 5" xfId="1284"/>
    <cellStyle name="20% - Accent5 4 5 2" xfId="4814"/>
    <cellStyle name="20% - Accent5 4 5_Exh G" xfId="2512"/>
    <cellStyle name="20% - Accent5 4 6" xfId="3935"/>
    <cellStyle name="20% - Accent5 4_Exh G" xfId="2501"/>
    <cellStyle name="20% - Accent5 5" xfId="260"/>
    <cellStyle name="20% - Accent5 5 2" xfId="261"/>
    <cellStyle name="20% - Accent5 5 2 2" xfId="262"/>
    <cellStyle name="20% - Accent5 5 2 2 2" xfId="1290"/>
    <cellStyle name="20% - Accent5 5 2 2 2 2" xfId="4820"/>
    <cellStyle name="20% - Accent5 5 2 2 2_Exh G" xfId="2516"/>
    <cellStyle name="20% - Accent5 5 2 2 3" xfId="3941"/>
    <cellStyle name="20% - Accent5 5 2 2_Exh G" xfId="2515"/>
    <cellStyle name="20% - Accent5 5 2 3" xfId="1289"/>
    <cellStyle name="20% - Accent5 5 2 3 2" xfId="4819"/>
    <cellStyle name="20% - Accent5 5 2 3_Exh G" xfId="2517"/>
    <cellStyle name="20% - Accent5 5 2 4" xfId="3940"/>
    <cellStyle name="20% - Accent5 5 2_Exh G" xfId="2514"/>
    <cellStyle name="20% - Accent5 5 3" xfId="263"/>
    <cellStyle name="20% - Accent5 5 3 2" xfId="1291"/>
    <cellStyle name="20% - Accent5 5 3 2 2" xfId="4821"/>
    <cellStyle name="20% - Accent5 5 3 2_Exh G" xfId="2519"/>
    <cellStyle name="20% - Accent5 5 3 3" xfId="3942"/>
    <cellStyle name="20% - Accent5 5 3_Exh G" xfId="2518"/>
    <cellStyle name="20% - Accent5 5 4" xfId="917"/>
    <cellStyle name="20% - Accent5 5 5" xfId="1288"/>
    <cellStyle name="20% - Accent5 5 5 2" xfId="4818"/>
    <cellStyle name="20% - Accent5 5 5_Exh G" xfId="2520"/>
    <cellStyle name="20% - Accent5 5 6" xfId="3939"/>
    <cellStyle name="20% - Accent5 5_Exh G" xfId="2513"/>
    <cellStyle name="20% - Accent5 6" xfId="264"/>
    <cellStyle name="20% - Accent5 6 2" xfId="265"/>
    <cellStyle name="20% - Accent5 6 2 2" xfId="266"/>
    <cellStyle name="20% - Accent5 6 2 2 2" xfId="1294"/>
    <cellStyle name="20% - Accent5 6 2 2 2 2" xfId="4824"/>
    <cellStyle name="20% - Accent5 6 2 2 2_Exh G" xfId="2524"/>
    <cellStyle name="20% - Accent5 6 2 2 3" xfId="3945"/>
    <cellStyle name="20% - Accent5 6 2 2_Exh G" xfId="2523"/>
    <cellStyle name="20% - Accent5 6 2 3" xfId="1293"/>
    <cellStyle name="20% - Accent5 6 2 3 2" xfId="4823"/>
    <cellStyle name="20% - Accent5 6 2 3_Exh G" xfId="2525"/>
    <cellStyle name="20% - Accent5 6 2 4" xfId="3944"/>
    <cellStyle name="20% - Accent5 6 2_Exh G" xfId="2522"/>
    <cellStyle name="20% - Accent5 6 3" xfId="267"/>
    <cellStyle name="20% - Accent5 6 3 2" xfId="1295"/>
    <cellStyle name="20% - Accent5 6 3 2 2" xfId="4825"/>
    <cellStyle name="20% - Accent5 6 3 2_Exh G" xfId="2527"/>
    <cellStyle name="20% - Accent5 6 3 3" xfId="3946"/>
    <cellStyle name="20% - Accent5 6 3_Exh G" xfId="2526"/>
    <cellStyle name="20% - Accent5 6 4" xfId="918"/>
    <cellStyle name="20% - Accent5 6 4 2" xfId="1845"/>
    <cellStyle name="20% - Accent5 6 4 2 2" xfId="5363"/>
    <cellStyle name="20% - Accent5 6 4 2_Exh G" xfId="2529"/>
    <cellStyle name="20% - Accent5 6 4 3" xfId="4484"/>
    <cellStyle name="20% - Accent5 6 4_Exh G" xfId="2528"/>
    <cellStyle name="20% - Accent5 6 5" xfId="1292"/>
    <cellStyle name="20% - Accent5 6 5 2" xfId="4822"/>
    <cellStyle name="20% - Accent5 6 5_Exh G" xfId="2530"/>
    <cellStyle name="20% - Accent5 6 6" xfId="3943"/>
    <cellStyle name="20% - Accent5 6_Exh G" xfId="2521"/>
    <cellStyle name="20% - Accent5 7" xfId="268"/>
    <cellStyle name="20% - Accent5 7 2" xfId="269"/>
    <cellStyle name="20% - Accent5 7 2 2" xfId="270"/>
    <cellStyle name="20% - Accent5 7 2 2 2" xfId="1298"/>
    <cellStyle name="20% - Accent5 7 2 2 2 2" xfId="4828"/>
    <cellStyle name="20% - Accent5 7 2 2 2_Exh G" xfId="2534"/>
    <cellStyle name="20% - Accent5 7 2 2 3" xfId="3949"/>
    <cellStyle name="20% - Accent5 7 2 2_Exh G" xfId="2533"/>
    <cellStyle name="20% - Accent5 7 2 3" xfId="1297"/>
    <cellStyle name="20% - Accent5 7 2 3 2" xfId="4827"/>
    <cellStyle name="20% - Accent5 7 2 3_Exh G" xfId="2535"/>
    <cellStyle name="20% - Accent5 7 2 4" xfId="3948"/>
    <cellStyle name="20% - Accent5 7 2_Exh G" xfId="2532"/>
    <cellStyle name="20% - Accent5 7 3" xfId="271"/>
    <cellStyle name="20% - Accent5 7 3 2" xfId="1299"/>
    <cellStyle name="20% - Accent5 7 3 2 2" xfId="4829"/>
    <cellStyle name="20% - Accent5 7 3 2_Exh G" xfId="2537"/>
    <cellStyle name="20% - Accent5 7 3 3" xfId="3950"/>
    <cellStyle name="20% - Accent5 7 3_Exh G" xfId="2536"/>
    <cellStyle name="20% - Accent5 7 4" xfId="919"/>
    <cellStyle name="20% - Accent5 7 4 2" xfId="1846"/>
    <cellStyle name="20% - Accent5 7 4 2 2" xfId="5364"/>
    <cellStyle name="20% - Accent5 7 4 2_Exh G" xfId="2539"/>
    <cellStyle name="20% - Accent5 7 4 3" xfId="4485"/>
    <cellStyle name="20% - Accent5 7 4_Exh G" xfId="2538"/>
    <cellStyle name="20% - Accent5 7 5" xfId="1296"/>
    <cellStyle name="20% - Accent5 7 5 2" xfId="4826"/>
    <cellStyle name="20% - Accent5 7 5_Exh G" xfId="2540"/>
    <cellStyle name="20% - Accent5 7 6" xfId="3947"/>
    <cellStyle name="20% - Accent5 7_Exh G" xfId="2531"/>
    <cellStyle name="20% - Accent5 8" xfId="272"/>
    <cellStyle name="20% - Accent5 8 2" xfId="273"/>
    <cellStyle name="20% - Accent5 8 2 2" xfId="274"/>
    <cellStyle name="20% - Accent5 8 2 2 2" xfId="1302"/>
    <cellStyle name="20% - Accent5 8 2 2 2 2" xfId="4832"/>
    <cellStyle name="20% - Accent5 8 2 2 2_Exh G" xfId="2544"/>
    <cellStyle name="20% - Accent5 8 2 2 3" xfId="3953"/>
    <cellStyle name="20% - Accent5 8 2 2_Exh G" xfId="2543"/>
    <cellStyle name="20% - Accent5 8 2 3" xfId="1301"/>
    <cellStyle name="20% - Accent5 8 2 3 2" xfId="4831"/>
    <cellStyle name="20% - Accent5 8 2 3_Exh G" xfId="2545"/>
    <cellStyle name="20% - Accent5 8 2 4" xfId="3952"/>
    <cellStyle name="20% - Accent5 8 2_Exh G" xfId="2542"/>
    <cellStyle name="20% - Accent5 8 3" xfId="275"/>
    <cellStyle name="20% - Accent5 8 3 2" xfId="1303"/>
    <cellStyle name="20% - Accent5 8 3 2 2" xfId="4833"/>
    <cellStyle name="20% - Accent5 8 3 2_Exh G" xfId="2547"/>
    <cellStyle name="20% - Accent5 8 3 3" xfId="3954"/>
    <cellStyle name="20% - Accent5 8 3_Exh G" xfId="2546"/>
    <cellStyle name="20% - Accent5 8 4" xfId="920"/>
    <cellStyle name="20% - Accent5 8 4 2" xfId="1847"/>
    <cellStyle name="20% - Accent5 8 4 2 2" xfId="5365"/>
    <cellStyle name="20% - Accent5 8 4 2_Exh G" xfId="2549"/>
    <cellStyle name="20% - Accent5 8 4 3" xfId="4486"/>
    <cellStyle name="20% - Accent5 8 4_Exh G" xfId="2548"/>
    <cellStyle name="20% - Accent5 8 5" xfId="1300"/>
    <cellStyle name="20% - Accent5 8 5 2" xfId="4830"/>
    <cellStyle name="20% - Accent5 8 5_Exh G" xfId="2550"/>
    <cellStyle name="20% - Accent5 8 6" xfId="3951"/>
    <cellStyle name="20% - Accent5 8_Exh G" xfId="2541"/>
    <cellStyle name="20% - Accent5 9" xfId="276"/>
    <cellStyle name="20% - Accent5 9 2" xfId="277"/>
    <cellStyle name="20% - Accent5 9 2 2" xfId="278"/>
    <cellStyle name="20% - Accent5 9 2 2 2" xfId="1306"/>
    <cellStyle name="20% - Accent5 9 2 2 2 2" xfId="4836"/>
    <cellStyle name="20% - Accent5 9 2 2 2_Exh G" xfId="2554"/>
    <cellStyle name="20% - Accent5 9 2 2 3" xfId="3957"/>
    <cellStyle name="20% - Accent5 9 2 2_Exh G" xfId="2553"/>
    <cellStyle name="20% - Accent5 9 2 3" xfId="1305"/>
    <cellStyle name="20% - Accent5 9 2 3 2" xfId="4835"/>
    <cellStyle name="20% - Accent5 9 2 3_Exh G" xfId="2555"/>
    <cellStyle name="20% - Accent5 9 2 4" xfId="3956"/>
    <cellStyle name="20% - Accent5 9 2_Exh G" xfId="2552"/>
    <cellStyle name="20% - Accent5 9 3" xfId="279"/>
    <cellStyle name="20% - Accent5 9 3 2" xfId="1307"/>
    <cellStyle name="20% - Accent5 9 3 2 2" xfId="4837"/>
    <cellStyle name="20% - Accent5 9 3 2_Exh G" xfId="2557"/>
    <cellStyle name="20% - Accent5 9 3 3" xfId="3958"/>
    <cellStyle name="20% - Accent5 9 3_Exh G" xfId="2556"/>
    <cellStyle name="20% - Accent5 9 4" xfId="921"/>
    <cellStyle name="20% - Accent5 9 4 2" xfId="1848"/>
    <cellStyle name="20% - Accent5 9 4 2 2" xfId="5366"/>
    <cellStyle name="20% - Accent5 9 4 2_Exh G" xfId="2559"/>
    <cellStyle name="20% - Accent5 9 4 3" xfId="4487"/>
    <cellStyle name="20% - Accent5 9 4_Exh G" xfId="2558"/>
    <cellStyle name="20% - Accent5 9 5" xfId="1304"/>
    <cellStyle name="20% - Accent5 9 5 2" xfId="4834"/>
    <cellStyle name="20% - Accent5 9 5_Exh G" xfId="2560"/>
    <cellStyle name="20% - Accent5 9 6" xfId="3955"/>
    <cellStyle name="20% - Accent5 9_Exh G" xfId="2551"/>
    <cellStyle name="20% - Accent6 10" xfId="280"/>
    <cellStyle name="20% - Accent6 10 2" xfId="281"/>
    <cellStyle name="20% - Accent6 10 2 2" xfId="282"/>
    <cellStyle name="20% - Accent6 10 2 2 2" xfId="1310"/>
    <cellStyle name="20% - Accent6 10 2 2 2 2" xfId="4840"/>
    <cellStyle name="20% - Accent6 10 2 2 2_Exh G" xfId="2564"/>
    <cellStyle name="20% - Accent6 10 2 2 3" xfId="3961"/>
    <cellStyle name="20% - Accent6 10 2 2_Exh G" xfId="2563"/>
    <cellStyle name="20% - Accent6 10 2 3" xfId="1309"/>
    <cellStyle name="20% - Accent6 10 2 3 2" xfId="4839"/>
    <cellStyle name="20% - Accent6 10 2 3_Exh G" xfId="2565"/>
    <cellStyle name="20% - Accent6 10 2 4" xfId="3960"/>
    <cellStyle name="20% - Accent6 10 2_Exh G" xfId="2562"/>
    <cellStyle name="20% - Accent6 10 3" xfId="283"/>
    <cellStyle name="20% - Accent6 10 3 2" xfId="1311"/>
    <cellStyle name="20% - Accent6 10 3 2 2" xfId="4841"/>
    <cellStyle name="20% - Accent6 10 3 2_Exh G" xfId="2567"/>
    <cellStyle name="20% - Accent6 10 3 3" xfId="3962"/>
    <cellStyle name="20% - Accent6 10 3_Exh G" xfId="2566"/>
    <cellStyle name="20% - Accent6 10 4" xfId="922"/>
    <cellStyle name="20% - Accent6 10 5" xfId="1308"/>
    <cellStyle name="20% - Accent6 10 5 2" xfId="4838"/>
    <cellStyle name="20% - Accent6 10 5_Exh G" xfId="2568"/>
    <cellStyle name="20% - Accent6 10 6" xfId="3959"/>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_Exh G" xfId="2572"/>
    <cellStyle name="20% - Accent6 11 2 2 3" xfId="3965"/>
    <cellStyle name="20% - Accent6 11 2 2_Exh G" xfId="2571"/>
    <cellStyle name="20% - Accent6 11 2 3" xfId="1313"/>
    <cellStyle name="20% - Accent6 11 2 3 2" xfId="4843"/>
    <cellStyle name="20% - Accent6 11 2 3_Exh G" xfId="2573"/>
    <cellStyle name="20% - Accent6 11 2 4" xfId="3964"/>
    <cellStyle name="20% - Accent6 11 2_Exh G" xfId="2570"/>
    <cellStyle name="20% - Accent6 11 3" xfId="287"/>
    <cellStyle name="20% - Accent6 11 3 2" xfId="1315"/>
    <cellStyle name="20% - Accent6 11 3 2 2" xfId="4845"/>
    <cellStyle name="20% - Accent6 11 3 2_Exh G" xfId="2575"/>
    <cellStyle name="20% - Accent6 11 3 3" xfId="3966"/>
    <cellStyle name="20% - Accent6 11 3_Exh G" xfId="2574"/>
    <cellStyle name="20% - Accent6 11 4" xfId="1312"/>
    <cellStyle name="20% - Accent6 11 4 2" xfId="4842"/>
    <cellStyle name="20% - Accent6 11 4_Exh G" xfId="2576"/>
    <cellStyle name="20% - Accent6 11 5" xfId="3963"/>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_Exh G" xfId="2580"/>
    <cellStyle name="20% - Accent6 12 2 2 3" xfId="3969"/>
    <cellStyle name="20% - Accent6 12 2 2_Exh G" xfId="2579"/>
    <cellStyle name="20% - Accent6 12 2 3" xfId="1317"/>
    <cellStyle name="20% - Accent6 12 2 3 2" xfId="4847"/>
    <cellStyle name="20% - Accent6 12 2 3_Exh G" xfId="2581"/>
    <cellStyle name="20% - Accent6 12 2 4" xfId="3968"/>
    <cellStyle name="20% - Accent6 12 2_Exh G" xfId="2578"/>
    <cellStyle name="20% - Accent6 12 3" xfId="291"/>
    <cellStyle name="20% - Accent6 12 3 2" xfId="1319"/>
    <cellStyle name="20% - Accent6 12 3 2 2" xfId="4849"/>
    <cellStyle name="20% - Accent6 12 3 2_Exh G" xfId="2583"/>
    <cellStyle name="20% - Accent6 12 3 3" xfId="3970"/>
    <cellStyle name="20% - Accent6 12 3_Exh G" xfId="2582"/>
    <cellStyle name="20% - Accent6 12 4" xfId="1316"/>
    <cellStyle name="20% - Accent6 12 4 2" xfId="4846"/>
    <cellStyle name="20% - Accent6 12 4_Exh G" xfId="2584"/>
    <cellStyle name="20% - Accent6 12 5" xfId="3967"/>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_Exh G" xfId="2588"/>
    <cellStyle name="20% - Accent6 13 2 2 3" xfId="3973"/>
    <cellStyle name="20% - Accent6 13 2 2_Exh G" xfId="2587"/>
    <cellStyle name="20% - Accent6 13 2 3" xfId="1321"/>
    <cellStyle name="20% - Accent6 13 2 3 2" xfId="4851"/>
    <cellStyle name="20% - Accent6 13 2 3_Exh G" xfId="2589"/>
    <cellStyle name="20% - Accent6 13 2 4" xfId="3972"/>
    <cellStyle name="20% - Accent6 13 2_Exh G" xfId="2586"/>
    <cellStyle name="20% - Accent6 13 3" xfId="295"/>
    <cellStyle name="20% - Accent6 13 3 2" xfId="1323"/>
    <cellStyle name="20% - Accent6 13 3 2 2" xfId="4853"/>
    <cellStyle name="20% - Accent6 13 3 2_Exh G" xfId="2591"/>
    <cellStyle name="20% - Accent6 13 3 3" xfId="3974"/>
    <cellStyle name="20% - Accent6 13 3_Exh G" xfId="2590"/>
    <cellStyle name="20% - Accent6 13 4" xfId="1320"/>
    <cellStyle name="20% - Accent6 13 4 2" xfId="4850"/>
    <cellStyle name="20% - Accent6 13 4_Exh G" xfId="2592"/>
    <cellStyle name="20% - Accent6 13 5" xfId="3971"/>
    <cellStyle name="20% - Accent6 13_Exh G" xfId="2585"/>
    <cellStyle name="20% - Accent6 14" xfId="296"/>
    <cellStyle name="20% - Accent6 14 2" xfId="297"/>
    <cellStyle name="20% - Accent6 14 2 2" xfId="1325"/>
    <cellStyle name="20% - Accent6 14 2 2 2" xfId="4855"/>
    <cellStyle name="20% - Accent6 14 2 2_Exh G" xfId="2595"/>
    <cellStyle name="20% - Accent6 14 2 3" xfId="3976"/>
    <cellStyle name="20% - Accent6 14 2_Exh G" xfId="2594"/>
    <cellStyle name="20% - Accent6 14 3" xfId="1324"/>
    <cellStyle name="20% - Accent6 14 3 2" xfId="4854"/>
    <cellStyle name="20% - Accent6 14 3_Exh G" xfId="2596"/>
    <cellStyle name="20% - Accent6 14 4" xfId="3975"/>
    <cellStyle name="20% - Accent6 14_Exh G" xfId="2593"/>
    <cellStyle name="20% - Accent6 15" xfId="298"/>
    <cellStyle name="20% - Accent6 15 2" xfId="1326"/>
    <cellStyle name="20% - Accent6 15 2 2" xfId="4856"/>
    <cellStyle name="20% - Accent6 15 2_Exh G" xfId="2598"/>
    <cellStyle name="20% - Accent6 15 3" xfId="3977"/>
    <cellStyle name="20% - Accent6 15_Exh G" xfId="2597"/>
    <cellStyle name="20% - Accent6 16" xfId="848"/>
    <cellStyle name="20% - Accent6 16 2" xfId="1787"/>
    <cellStyle name="20% - Accent6 16 2 2" xfId="5308"/>
    <cellStyle name="20% - Accent6 16 2_Exh G" xfId="2600"/>
    <cellStyle name="20% - Accent6 16 3" xfId="4429"/>
    <cellStyle name="20% - Accent6 16_Exh G" xfId="2599"/>
    <cellStyle name="20% - Accent6 2" xfId="299"/>
    <cellStyle name="20% - Accent6 2 2" xfId="300"/>
    <cellStyle name="20% - Accent6 2 2 2" xfId="301"/>
    <cellStyle name="20% - Accent6 2 2 2 2" xfId="1329"/>
    <cellStyle name="20% - Accent6 2 2 2 2 2" xfId="4859"/>
    <cellStyle name="20% - Accent6 2 2 2 2_Exh G" xfId="2604"/>
    <cellStyle name="20% - Accent6 2 2 2 3" xfId="3980"/>
    <cellStyle name="20% - Accent6 2 2 2_Exh G" xfId="2603"/>
    <cellStyle name="20% - Accent6 2 2 3" xfId="924"/>
    <cellStyle name="20% - Accent6 2 2 3 2" xfId="1850"/>
    <cellStyle name="20% - Accent6 2 2 3 2 2" xfId="5368"/>
    <cellStyle name="20% - Accent6 2 2 3 2_Exh G" xfId="2606"/>
    <cellStyle name="20% - Accent6 2 2 3 3" xfId="4489"/>
    <cellStyle name="20% - Accent6 2 2 3_Exh G" xfId="2605"/>
    <cellStyle name="20% - Accent6 2 2 4" xfId="1328"/>
    <cellStyle name="20% - Accent6 2 2 4 2" xfId="4858"/>
    <cellStyle name="20% - Accent6 2 2 4_Exh G" xfId="2607"/>
    <cellStyle name="20% - Accent6 2 2 5" xfId="3979"/>
    <cellStyle name="20% - Accent6 2 2_Exh G" xfId="2602"/>
    <cellStyle name="20% - Accent6 2 3" xfId="302"/>
    <cellStyle name="20% - Accent6 2 3 2" xfId="1330"/>
    <cellStyle name="20% - Accent6 2 3 2 2" xfId="4860"/>
    <cellStyle name="20% - Accent6 2 3 2_Exh G" xfId="2609"/>
    <cellStyle name="20% - Accent6 2 3 3" xfId="3981"/>
    <cellStyle name="20% - Accent6 2 3_Exh G" xfId="2608"/>
    <cellStyle name="20% - Accent6 2 4" xfId="923"/>
    <cellStyle name="20% - Accent6 2 4 2" xfId="1849"/>
    <cellStyle name="20% - Accent6 2 4 2 2" xfId="5367"/>
    <cellStyle name="20% - Accent6 2 4 2_Exh G" xfId="2611"/>
    <cellStyle name="20% - Accent6 2 4 3" xfId="4488"/>
    <cellStyle name="20% - Accent6 2 4_Exh G" xfId="2610"/>
    <cellStyle name="20% - Accent6 2 5" xfId="1327"/>
    <cellStyle name="20% - Accent6 2 5 2" xfId="4857"/>
    <cellStyle name="20% - Accent6 2 5_Exh G" xfId="2612"/>
    <cellStyle name="20% - Accent6 2 6" xfId="3978"/>
    <cellStyle name="20% - Accent6 2_Exh G" xfId="2601"/>
    <cellStyle name="20% - Accent6 3" xfId="303"/>
    <cellStyle name="20% - Accent6 3 2" xfId="304"/>
    <cellStyle name="20% - Accent6 3 2 2" xfId="305"/>
    <cellStyle name="20% - Accent6 3 2 2 2" xfId="1333"/>
    <cellStyle name="20% - Accent6 3 2 2 2 2" xfId="4863"/>
    <cellStyle name="20% - Accent6 3 2 2 2_Exh G" xfId="2616"/>
    <cellStyle name="20% - Accent6 3 2 2 3" xfId="3984"/>
    <cellStyle name="20% - Accent6 3 2 2_Exh G" xfId="2615"/>
    <cellStyle name="20% - Accent6 3 2 3" xfId="926"/>
    <cellStyle name="20% - Accent6 3 2 3 2" xfId="1852"/>
    <cellStyle name="20% - Accent6 3 2 3 2 2" xfId="5370"/>
    <cellStyle name="20% - Accent6 3 2 3 2_Exh G" xfId="2618"/>
    <cellStyle name="20% - Accent6 3 2 3 3" xfId="4491"/>
    <cellStyle name="20% - Accent6 3 2 3_Exh G" xfId="2617"/>
    <cellStyle name="20% - Accent6 3 2 4" xfId="1332"/>
    <cellStyle name="20% - Accent6 3 2 4 2" xfId="4862"/>
    <cellStyle name="20% - Accent6 3 2 4_Exh G" xfId="2619"/>
    <cellStyle name="20% - Accent6 3 2 5" xfId="3983"/>
    <cellStyle name="20% - Accent6 3 2_Exh G" xfId="2614"/>
    <cellStyle name="20% - Accent6 3 3" xfId="306"/>
    <cellStyle name="20% - Accent6 3 3 2" xfId="1334"/>
    <cellStyle name="20% - Accent6 3 3 2 2" xfId="4864"/>
    <cellStyle name="20% - Accent6 3 3 2_Exh G" xfId="2621"/>
    <cellStyle name="20% - Accent6 3 3 3" xfId="3985"/>
    <cellStyle name="20% - Accent6 3 3_Exh G" xfId="2620"/>
    <cellStyle name="20% - Accent6 3 4" xfId="925"/>
    <cellStyle name="20% - Accent6 3 4 2" xfId="1851"/>
    <cellStyle name="20% - Accent6 3 4 2 2" xfId="5369"/>
    <cellStyle name="20% - Accent6 3 4 2_Exh G" xfId="2623"/>
    <cellStyle name="20% - Accent6 3 4 3" xfId="4490"/>
    <cellStyle name="20% - Accent6 3 4_Exh G" xfId="2622"/>
    <cellStyle name="20% - Accent6 3 5" xfId="1331"/>
    <cellStyle name="20% - Accent6 3 5 2" xfId="4861"/>
    <cellStyle name="20% - Accent6 3 5_Exh G" xfId="2624"/>
    <cellStyle name="20% - Accent6 3 6" xfId="3982"/>
    <cellStyle name="20% - Accent6 3_Exh G" xfId="2613"/>
    <cellStyle name="20% - Accent6 4" xfId="307"/>
    <cellStyle name="20% - Accent6 4 2" xfId="308"/>
    <cellStyle name="20% - Accent6 4 2 2" xfId="309"/>
    <cellStyle name="20% - Accent6 4 2 2 2" xfId="1337"/>
    <cellStyle name="20% - Accent6 4 2 2 2 2" xfId="4867"/>
    <cellStyle name="20% - Accent6 4 2 2 2_Exh G" xfId="2628"/>
    <cellStyle name="20% - Accent6 4 2 2 3" xfId="3988"/>
    <cellStyle name="20% - Accent6 4 2 2_Exh G" xfId="2627"/>
    <cellStyle name="20% - Accent6 4 2 3" xfId="928"/>
    <cellStyle name="20% - Accent6 4 2 3 2" xfId="1854"/>
    <cellStyle name="20% - Accent6 4 2 3 2 2" xfId="5372"/>
    <cellStyle name="20% - Accent6 4 2 3 2_Exh G" xfId="2630"/>
    <cellStyle name="20% - Accent6 4 2 3 3" xfId="4493"/>
    <cellStyle name="20% - Accent6 4 2 3_Exh G" xfId="2629"/>
    <cellStyle name="20% - Accent6 4 2 4" xfId="1336"/>
    <cellStyle name="20% - Accent6 4 2 4 2" xfId="4866"/>
    <cellStyle name="20% - Accent6 4 2 4_Exh G" xfId="2631"/>
    <cellStyle name="20% - Accent6 4 2 5" xfId="3987"/>
    <cellStyle name="20% - Accent6 4 2_Exh G" xfId="2626"/>
    <cellStyle name="20% - Accent6 4 3" xfId="310"/>
    <cellStyle name="20% - Accent6 4 3 2" xfId="1338"/>
    <cellStyle name="20% - Accent6 4 3 2 2" xfId="4868"/>
    <cellStyle name="20% - Accent6 4 3 2_Exh G" xfId="2633"/>
    <cellStyle name="20% - Accent6 4 3 3" xfId="3989"/>
    <cellStyle name="20% - Accent6 4 3_Exh G" xfId="2632"/>
    <cellStyle name="20% - Accent6 4 4" xfId="927"/>
    <cellStyle name="20% - Accent6 4 4 2" xfId="1853"/>
    <cellStyle name="20% - Accent6 4 4 2 2" xfId="5371"/>
    <cellStyle name="20% - Accent6 4 4 2_Exh G" xfId="2635"/>
    <cellStyle name="20% - Accent6 4 4 3" xfId="4492"/>
    <cellStyle name="20% - Accent6 4 4_Exh G" xfId="2634"/>
    <cellStyle name="20% - Accent6 4 5" xfId="1335"/>
    <cellStyle name="20% - Accent6 4 5 2" xfId="4865"/>
    <cellStyle name="20% - Accent6 4 5_Exh G" xfId="2636"/>
    <cellStyle name="20% - Accent6 4 6" xfId="3986"/>
    <cellStyle name="20% - Accent6 4_Exh G" xfId="2625"/>
    <cellStyle name="20% - Accent6 5" xfId="311"/>
    <cellStyle name="20% - Accent6 5 2" xfId="312"/>
    <cellStyle name="20% - Accent6 5 2 2" xfId="313"/>
    <cellStyle name="20% - Accent6 5 2 2 2" xfId="1341"/>
    <cellStyle name="20% - Accent6 5 2 2 2 2" xfId="4871"/>
    <cellStyle name="20% - Accent6 5 2 2 2_Exh G" xfId="2640"/>
    <cellStyle name="20% - Accent6 5 2 2 3" xfId="3992"/>
    <cellStyle name="20% - Accent6 5 2 2_Exh G" xfId="2639"/>
    <cellStyle name="20% - Accent6 5 2 3" xfId="1340"/>
    <cellStyle name="20% - Accent6 5 2 3 2" xfId="4870"/>
    <cellStyle name="20% - Accent6 5 2 3_Exh G" xfId="2641"/>
    <cellStyle name="20% - Accent6 5 2 4" xfId="3991"/>
    <cellStyle name="20% - Accent6 5 2_Exh G" xfId="2638"/>
    <cellStyle name="20% - Accent6 5 3" xfId="314"/>
    <cellStyle name="20% - Accent6 5 3 2" xfId="1342"/>
    <cellStyle name="20% - Accent6 5 3 2 2" xfId="4872"/>
    <cellStyle name="20% - Accent6 5 3 2_Exh G" xfId="2643"/>
    <cellStyle name="20% - Accent6 5 3 3" xfId="3993"/>
    <cellStyle name="20% - Accent6 5 3_Exh G" xfId="2642"/>
    <cellStyle name="20% - Accent6 5 4" xfId="929"/>
    <cellStyle name="20% - Accent6 5 5" xfId="1339"/>
    <cellStyle name="20% - Accent6 5 5 2" xfId="4869"/>
    <cellStyle name="20% - Accent6 5 5_Exh G" xfId="2644"/>
    <cellStyle name="20% - Accent6 5 6" xfId="3990"/>
    <cellStyle name="20% - Accent6 5_Exh G" xfId="2637"/>
    <cellStyle name="20% - Accent6 6" xfId="315"/>
    <cellStyle name="20% - Accent6 6 2" xfId="316"/>
    <cellStyle name="20% - Accent6 6 2 2" xfId="317"/>
    <cellStyle name="20% - Accent6 6 2 2 2" xfId="1345"/>
    <cellStyle name="20% - Accent6 6 2 2 2 2" xfId="4875"/>
    <cellStyle name="20% - Accent6 6 2 2 2_Exh G" xfId="2648"/>
    <cellStyle name="20% - Accent6 6 2 2 3" xfId="3996"/>
    <cellStyle name="20% - Accent6 6 2 2_Exh G" xfId="2647"/>
    <cellStyle name="20% - Accent6 6 2 3" xfId="1344"/>
    <cellStyle name="20% - Accent6 6 2 3 2" xfId="4874"/>
    <cellStyle name="20% - Accent6 6 2 3_Exh G" xfId="2649"/>
    <cellStyle name="20% - Accent6 6 2 4" xfId="3995"/>
    <cellStyle name="20% - Accent6 6 2_Exh G" xfId="2646"/>
    <cellStyle name="20% - Accent6 6 3" xfId="318"/>
    <cellStyle name="20% - Accent6 6 3 2" xfId="1346"/>
    <cellStyle name="20% - Accent6 6 3 2 2" xfId="4876"/>
    <cellStyle name="20% - Accent6 6 3 2_Exh G" xfId="2651"/>
    <cellStyle name="20% - Accent6 6 3 3" xfId="3997"/>
    <cellStyle name="20% - Accent6 6 3_Exh G" xfId="2650"/>
    <cellStyle name="20% - Accent6 6 4" xfId="930"/>
    <cellStyle name="20% - Accent6 6 4 2" xfId="1855"/>
    <cellStyle name="20% - Accent6 6 4 2 2" xfId="5373"/>
    <cellStyle name="20% - Accent6 6 4 2_Exh G" xfId="2653"/>
    <cellStyle name="20% - Accent6 6 4 3" xfId="4494"/>
    <cellStyle name="20% - Accent6 6 4_Exh G" xfId="2652"/>
    <cellStyle name="20% - Accent6 6 5" xfId="1343"/>
    <cellStyle name="20% - Accent6 6 5 2" xfId="4873"/>
    <cellStyle name="20% - Accent6 6 5_Exh G" xfId="2654"/>
    <cellStyle name="20% - Accent6 6 6" xfId="3994"/>
    <cellStyle name="20% - Accent6 6_Exh G" xfId="2645"/>
    <cellStyle name="20% - Accent6 7" xfId="319"/>
    <cellStyle name="20% - Accent6 7 2" xfId="320"/>
    <cellStyle name="20% - Accent6 7 2 2" xfId="321"/>
    <cellStyle name="20% - Accent6 7 2 2 2" xfId="1349"/>
    <cellStyle name="20% - Accent6 7 2 2 2 2" xfId="4879"/>
    <cellStyle name="20% - Accent6 7 2 2 2_Exh G" xfId="2658"/>
    <cellStyle name="20% - Accent6 7 2 2 3" xfId="4000"/>
    <cellStyle name="20% - Accent6 7 2 2_Exh G" xfId="2657"/>
    <cellStyle name="20% - Accent6 7 2 3" xfId="1348"/>
    <cellStyle name="20% - Accent6 7 2 3 2" xfId="4878"/>
    <cellStyle name="20% - Accent6 7 2 3_Exh G" xfId="2659"/>
    <cellStyle name="20% - Accent6 7 2 4" xfId="3999"/>
    <cellStyle name="20% - Accent6 7 2_Exh G" xfId="2656"/>
    <cellStyle name="20% - Accent6 7 3" xfId="322"/>
    <cellStyle name="20% - Accent6 7 3 2" xfId="1350"/>
    <cellStyle name="20% - Accent6 7 3 2 2" xfId="4880"/>
    <cellStyle name="20% - Accent6 7 3 2_Exh G" xfId="2661"/>
    <cellStyle name="20% - Accent6 7 3 3" xfId="4001"/>
    <cellStyle name="20% - Accent6 7 3_Exh G" xfId="2660"/>
    <cellStyle name="20% - Accent6 7 4" xfId="931"/>
    <cellStyle name="20% - Accent6 7 4 2" xfId="1856"/>
    <cellStyle name="20% - Accent6 7 4 2 2" xfId="5374"/>
    <cellStyle name="20% - Accent6 7 4 2_Exh G" xfId="2663"/>
    <cellStyle name="20% - Accent6 7 4 3" xfId="4495"/>
    <cellStyle name="20% - Accent6 7 4_Exh G" xfId="2662"/>
    <cellStyle name="20% - Accent6 7 5" xfId="1347"/>
    <cellStyle name="20% - Accent6 7 5 2" xfId="4877"/>
    <cellStyle name="20% - Accent6 7 5_Exh G" xfId="2664"/>
    <cellStyle name="20% - Accent6 7 6" xfId="3998"/>
    <cellStyle name="20% - Accent6 7_Exh G" xfId="2655"/>
    <cellStyle name="20% - Accent6 8" xfId="323"/>
    <cellStyle name="20% - Accent6 8 2" xfId="324"/>
    <cellStyle name="20% - Accent6 8 2 2" xfId="325"/>
    <cellStyle name="20% - Accent6 8 2 2 2" xfId="1353"/>
    <cellStyle name="20% - Accent6 8 2 2 2 2" xfId="4883"/>
    <cellStyle name="20% - Accent6 8 2 2 2_Exh G" xfId="2668"/>
    <cellStyle name="20% - Accent6 8 2 2 3" xfId="4004"/>
    <cellStyle name="20% - Accent6 8 2 2_Exh G" xfId="2667"/>
    <cellStyle name="20% - Accent6 8 2 3" xfId="1352"/>
    <cellStyle name="20% - Accent6 8 2 3 2" xfId="4882"/>
    <cellStyle name="20% - Accent6 8 2 3_Exh G" xfId="2669"/>
    <cellStyle name="20% - Accent6 8 2 4" xfId="4003"/>
    <cellStyle name="20% - Accent6 8 2_Exh G" xfId="2666"/>
    <cellStyle name="20% - Accent6 8 3" xfId="326"/>
    <cellStyle name="20% - Accent6 8 3 2" xfId="1354"/>
    <cellStyle name="20% - Accent6 8 3 2 2" xfId="4884"/>
    <cellStyle name="20% - Accent6 8 3 2_Exh G" xfId="2671"/>
    <cellStyle name="20% - Accent6 8 3 3" xfId="4005"/>
    <cellStyle name="20% - Accent6 8 3_Exh G" xfId="2670"/>
    <cellStyle name="20% - Accent6 8 4" xfId="932"/>
    <cellStyle name="20% - Accent6 8 4 2" xfId="1857"/>
    <cellStyle name="20% - Accent6 8 4 2 2" xfId="5375"/>
    <cellStyle name="20% - Accent6 8 4 2_Exh G" xfId="2673"/>
    <cellStyle name="20% - Accent6 8 4 3" xfId="4496"/>
    <cellStyle name="20% - Accent6 8 4_Exh G" xfId="2672"/>
    <cellStyle name="20% - Accent6 8 5" xfId="1351"/>
    <cellStyle name="20% - Accent6 8 5 2" xfId="4881"/>
    <cellStyle name="20% - Accent6 8 5_Exh G" xfId="2674"/>
    <cellStyle name="20% - Accent6 8 6" xfId="4002"/>
    <cellStyle name="20% - Accent6 8_Exh G" xfId="2665"/>
    <cellStyle name="20% - Accent6 9" xfId="327"/>
    <cellStyle name="20% - Accent6 9 2" xfId="328"/>
    <cellStyle name="20% - Accent6 9 2 2" xfId="329"/>
    <cellStyle name="20% - Accent6 9 2 2 2" xfId="1357"/>
    <cellStyle name="20% - Accent6 9 2 2 2 2" xfId="4887"/>
    <cellStyle name="20% - Accent6 9 2 2 2_Exh G" xfId="2678"/>
    <cellStyle name="20% - Accent6 9 2 2 3" xfId="4008"/>
    <cellStyle name="20% - Accent6 9 2 2_Exh G" xfId="2677"/>
    <cellStyle name="20% - Accent6 9 2 3" xfId="1356"/>
    <cellStyle name="20% - Accent6 9 2 3 2" xfId="4886"/>
    <cellStyle name="20% - Accent6 9 2 3_Exh G" xfId="2679"/>
    <cellStyle name="20% - Accent6 9 2 4" xfId="4007"/>
    <cellStyle name="20% - Accent6 9 2_Exh G" xfId="2676"/>
    <cellStyle name="20% - Accent6 9 3" xfId="330"/>
    <cellStyle name="20% - Accent6 9 3 2" xfId="1358"/>
    <cellStyle name="20% - Accent6 9 3 2 2" xfId="4888"/>
    <cellStyle name="20% - Accent6 9 3 2_Exh G" xfId="2681"/>
    <cellStyle name="20% - Accent6 9 3 3" xfId="4009"/>
    <cellStyle name="20% - Accent6 9 3_Exh G" xfId="2680"/>
    <cellStyle name="20% - Accent6 9 4" xfId="933"/>
    <cellStyle name="20% - Accent6 9 4 2" xfId="1858"/>
    <cellStyle name="20% - Accent6 9 4 2 2" xfId="5376"/>
    <cellStyle name="20% - Accent6 9 4 2_Exh G" xfId="2683"/>
    <cellStyle name="20% - Accent6 9 4 3" xfId="4497"/>
    <cellStyle name="20% - Accent6 9 4_Exh G" xfId="2682"/>
    <cellStyle name="20% - Accent6 9 5" xfId="1355"/>
    <cellStyle name="20% - Accent6 9 5 2" xfId="4885"/>
    <cellStyle name="20% - Accent6 9 5_Exh G" xfId="2684"/>
    <cellStyle name="20% - Accent6 9 6" xfId="4006"/>
    <cellStyle name="20% - Accent6 9_Exh G" xfId="2675"/>
    <cellStyle name="40% - Accent1 10" xfId="331"/>
    <cellStyle name="40% - Accent1 10 2" xfId="332"/>
    <cellStyle name="40% - Accent1 10 2 2" xfId="333"/>
    <cellStyle name="40% - Accent1 10 2 2 2" xfId="1361"/>
    <cellStyle name="40% - Accent1 10 2 2 2 2" xfId="4891"/>
    <cellStyle name="40% - Accent1 10 2 2 2_Exh G" xfId="2688"/>
    <cellStyle name="40% - Accent1 10 2 2 3" xfId="4012"/>
    <cellStyle name="40% - Accent1 10 2 2_Exh G" xfId="2687"/>
    <cellStyle name="40% - Accent1 10 2 3" xfId="1360"/>
    <cellStyle name="40% - Accent1 10 2 3 2" xfId="4890"/>
    <cellStyle name="40% - Accent1 10 2 3_Exh G" xfId="2689"/>
    <cellStyle name="40% - Accent1 10 2 4" xfId="4011"/>
    <cellStyle name="40% - Accent1 10 2_Exh G" xfId="2686"/>
    <cellStyle name="40% - Accent1 10 3" xfId="334"/>
    <cellStyle name="40% - Accent1 10 3 2" xfId="1362"/>
    <cellStyle name="40% - Accent1 10 3 2 2" xfId="4892"/>
    <cellStyle name="40% - Accent1 10 3 2_Exh G" xfId="2691"/>
    <cellStyle name="40% - Accent1 10 3 3" xfId="4013"/>
    <cellStyle name="40% - Accent1 10 3_Exh G" xfId="2690"/>
    <cellStyle name="40% - Accent1 10 4" xfId="934"/>
    <cellStyle name="40% - Accent1 10 5" xfId="1359"/>
    <cellStyle name="40% - Accent1 10 5 2" xfId="4889"/>
    <cellStyle name="40% - Accent1 10 5_Exh G" xfId="2692"/>
    <cellStyle name="40% - Accent1 10 6" xfId="4010"/>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_Exh G" xfId="2696"/>
    <cellStyle name="40% - Accent1 11 2 2 3" xfId="4016"/>
    <cellStyle name="40% - Accent1 11 2 2_Exh G" xfId="2695"/>
    <cellStyle name="40% - Accent1 11 2 3" xfId="1364"/>
    <cellStyle name="40% - Accent1 11 2 3 2" xfId="4894"/>
    <cellStyle name="40% - Accent1 11 2 3_Exh G" xfId="2697"/>
    <cellStyle name="40% - Accent1 11 2 4" xfId="4015"/>
    <cellStyle name="40% - Accent1 11 2_Exh G" xfId="2694"/>
    <cellStyle name="40% - Accent1 11 3" xfId="338"/>
    <cellStyle name="40% - Accent1 11 3 2" xfId="1366"/>
    <cellStyle name="40% - Accent1 11 3 2 2" xfId="4896"/>
    <cellStyle name="40% - Accent1 11 3 2_Exh G" xfId="2699"/>
    <cellStyle name="40% - Accent1 11 3 3" xfId="4017"/>
    <cellStyle name="40% - Accent1 11 3_Exh G" xfId="2698"/>
    <cellStyle name="40% - Accent1 11 4" xfId="1363"/>
    <cellStyle name="40% - Accent1 11 4 2" xfId="4893"/>
    <cellStyle name="40% - Accent1 11 4_Exh G" xfId="2700"/>
    <cellStyle name="40% - Accent1 11 5" xfId="4014"/>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_Exh G" xfId="2704"/>
    <cellStyle name="40% - Accent1 12 2 2 3" xfId="4020"/>
    <cellStyle name="40% - Accent1 12 2 2_Exh G" xfId="2703"/>
    <cellStyle name="40% - Accent1 12 2 3" xfId="1368"/>
    <cellStyle name="40% - Accent1 12 2 3 2" xfId="4898"/>
    <cellStyle name="40% - Accent1 12 2 3_Exh G" xfId="2705"/>
    <cellStyle name="40% - Accent1 12 2 4" xfId="4019"/>
    <cellStyle name="40% - Accent1 12 2_Exh G" xfId="2702"/>
    <cellStyle name="40% - Accent1 12 3" xfId="342"/>
    <cellStyle name="40% - Accent1 12 3 2" xfId="1370"/>
    <cellStyle name="40% - Accent1 12 3 2 2" xfId="4900"/>
    <cellStyle name="40% - Accent1 12 3 2_Exh G" xfId="2707"/>
    <cellStyle name="40% - Accent1 12 3 3" xfId="4021"/>
    <cellStyle name="40% - Accent1 12 3_Exh G" xfId="2706"/>
    <cellStyle name="40% - Accent1 12 4" xfId="1367"/>
    <cellStyle name="40% - Accent1 12 4 2" xfId="4897"/>
    <cellStyle name="40% - Accent1 12 4_Exh G" xfId="2708"/>
    <cellStyle name="40% - Accent1 12 5" xfId="4018"/>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_Exh G" xfId="2712"/>
    <cellStyle name="40% - Accent1 13 2 2 3" xfId="4024"/>
    <cellStyle name="40% - Accent1 13 2 2_Exh G" xfId="2711"/>
    <cellStyle name="40% - Accent1 13 2 3" xfId="1372"/>
    <cellStyle name="40% - Accent1 13 2 3 2" xfId="4902"/>
    <cellStyle name="40% - Accent1 13 2 3_Exh G" xfId="2713"/>
    <cellStyle name="40% - Accent1 13 2 4" xfId="4023"/>
    <cellStyle name="40% - Accent1 13 2_Exh G" xfId="2710"/>
    <cellStyle name="40% - Accent1 13 3" xfId="346"/>
    <cellStyle name="40% - Accent1 13 3 2" xfId="1374"/>
    <cellStyle name="40% - Accent1 13 3 2 2" xfId="4904"/>
    <cellStyle name="40% - Accent1 13 3 2_Exh G" xfId="2715"/>
    <cellStyle name="40% - Accent1 13 3 3" xfId="4025"/>
    <cellStyle name="40% - Accent1 13 3_Exh G" xfId="2714"/>
    <cellStyle name="40% - Accent1 13 4" xfId="1371"/>
    <cellStyle name="40% - Accent1 13 4 2" xfId="4901"/>
    <cellStyle name="40% - Accent1 13 4_Exh G" xfId="2716"/>
    <cellStyle name="40% - Accent1 13 5" xfId="4022"/>
    <cellStyle name="40% - Accent1 13_Exh G" xfId="2709"/>
    <cellStyle name="40% - Accent1 14" xfId="347"/>
    <cellStyle name="40% - Accent1 14 2" xfId="348"/>
    <cellStyle name="40% - Accent1 14 2 2" xfId="1376"/>
    <cellStyle name="40% - Accent1 14 2 2 2" xfId="4906"/>
    <cellStyle name="40% - Accent1 14 2 2_Exh G" xfId="2719"/>
    <cellStyle name="40% - Accent1 14 2 3" xfId="4027"/>
    <cellStyle name="40% - Accent1 14 2_Exh G" xfId="2718"/>
    <cellStyle name="40% - Accent1 14 3" xfId="1375"/>
    <cellStyle name="40% - Accent1 14 3 2" xfId="4905"/>
    <cellStyle name="40% - Accent1 14 3_Exh G" xfId="2720"/>
    <cellStyle name="40% - Accent1 14 4" xfId="4026"/>
    <cellStyle name="40% - Accent1 14_Exh G" xfId="2717"/>
    <cellStyle name="40% - Accent1 15" xfId="349"/>
    <cellStyle name="40% - Accent1 15 2" xfId="1377"/>
    <cellStyle name="40% - Accent1 15 2 2" xfId="4907"/>
    <cellStyle name="40% - Accent1 15 2_Exh G" xfId="2722"/>
    <cellStyle name="40% - Accent1 15 3" xfId="4028"/>
    <cellStyle name="40% - Accent1 15_Exh G" xfId="2721"/>
    <cellStyle name="40% - Accent1 16" xfId="849"/>
    <cellStyle name="40% - Accent1 16 2" xfId="1788"/>
    <cellStyle name="40% - Accent1 16 2 2" xfId="5309"/>
    <cellStyle name="40% - Accent1 16 2_Exh G" xfId="2724"/>
    <cellStyle name="40% - Accent1 16 3" xfId="4430"/>
    <cellStyle name="40% - Accent1 16_Exh G" xfId="2723"/>
    <cellStyle name="40% - Accent1 2" xfId="350"/>
    <cellStyle name="40% - Accent1 2 2" xfId="351"/>
    <cellStyle name="40% - Accent1 2 2 2" xfId="352"/>
    <cellStyle name="40% - Accent1 2 2 2 2" xfId="1380"/>
    <cellStyle name="40% - Accent1 2 2 2 2 2" xfId="4910"/>
    <cellStyle name="40% - Accent1 2 2 2 2_Exh G" xfId="2728"/>
    <cellStyle name="40% - Accent1 2 2 2 3" xfId="4031"/>
    <cellStyle name="40% - Accent1 2 2 2_Exh G" xfId="2727"/>
    <cellStyle name="40% - Accent1 2 2 3" xfId="936"/>
    <cellStyle name="40% - Accent1 2 2 3 2" xfId="1860"/>
    <cellStyle name="40% - Accent1 2 2 3 2 2" xfId="5378"/>
    <cellStyle name="40% - Accent1 2 2 3 2_Exh G" xfId="2730"/>
    <cellStyle name="40% - Accent1 2 2 3 3" xfId="4499"/>
    <cellStyle name="40% - Accent1 2 2 3_Exh G" xfId="2729"/>
    <cellStyle name="40% - Accent1 2 2 4" xfId="1379"/>
    <cellStyle name="40% - Accent1 2 2 4 2" xfId="4909"/>
    <cellStyle name="40% - Accent1 2 2 4_Exh G" xfId="2731"/>
    <cellStyle name="40% - Accent1 2 2 5" xfId="4030"/>
    <cellStyle name="40% - Accent1 2 2_Exh G" xfId="2726"/>
    <cellStyle name="40% - Accent1 2 3" xfId="353"/>
    <cellStyle name="40% - Accent1 2 3 2" xfId="1381"/>
    <cellStyle name="40% - Accent1 2 3 2 2" xfId="4911"/>
    <cellStyle name="40% - Accent1 2 3 2_Exh G" xfId="2733"/>
    <cellStyle name="40% - Accent1 2 3 3" xfId="4032"/>
    <cellStyle name="40% - Accent1 2 3_Exh G" xfId="2732"/>
    <cellStyle name="40% - Accent1 2 4" xfId="935"/>
    <cellStyle name="40% - Accent1 2 4 2" xfId="1859"/>
    <cellStyle name="40% - Accent1 2 4 2 2" xfId="5377"/>
    <cellStyle name="40% - Accent1 2 4 2_Exh G" xfId="2735"/>
    <cellStyle name="40% - Accent1 2 4 3" xfId="4498"/>
    <cellStyle name="40% - Accent1 2 4_Exh G" xfId="2734"/>
    <cellStyle name="40% - Accent1 2 5" xfId="1378"/>
    <cellStyle name="40% - Accent1 2 5 2" xfId="4908"/>
    <cellStyle name="40% - Accent1 2 5_Exh G" xfId="2736"/>
    <cellStyle name="40% - Accent1 2 6" xfId="4029"/>
    <cellStyle name="40% - Accent1 2_Exh G" xfId="2725"/>
    <cellStyle name="40% - Accent1 3" xfId="354"/>
    <cellStyle name="40% - Accent1 3 2" xfId="355"/>
    <cellStyle name="40% - Accent1 3 2 2" xfId="356"/>
    <cellStyle name="40% - Accent1 3 2 2 2" xfId="1384"/>
    <cellStyle name="40% - Accent1 3 2 2 2 2" xfId="4914"/>
    <cellStyle name="40% - Accent1 3 2 2 2_Exh G" xfId="2740"/>
    <cellStyle name="40% - Accent1 3 2 2 3" xfId="4035"/>
    <cellStyle name="40% - Accent1 3 2 2_Exh G" xfId="2739"/>
    <cellStyle name="40% - Accent1 3 2 3" xfId="938"/>
    <cellStyle name="40% - Accent1 3 2 3 2" xfId="1862"/>
    <cellStyle name="40% - Accent1 3 2 3 2 2" xfId="5380"/>
    <cellStyle name="40% - Accent1 3 2 3 2_Exh G" xfId="2742"/>
    <cellStyle name="40% - Accent1 3 2 3 3" xfId="4501"/>
    <cellStyle name="40% - Accent1 3 2 3_Exh G" xfId="2741"/>
    <cellStyle name="40% - Accent1 3 2 4" xfId="1383"/>
    <cellStyle name="40% - Accent1 3 2 4 2" xfId="4913"/>
    <cellStyle name="40% - Accent1 3 2 4_Exh G" xfId="2743"/>
    <cellStyle name="40% - Accent1 3 2 5" xfId="4034"/>
    <cellStyle name="40% - Accent1 3 2_Exh G" xfId="2738"/>
    <cellStyle name="40% - Accent1 3 3" xfId="357"/>
    <cellStyle name="40% - Accent1 3 3 2" xfId="1385"/>
    <cellStyle name="40% - Accent1 3 3 2 2" xfId="4915"/>
    <cellStyle name="40% - Accent1 3 3 2_Exh G" xfId="2745"/>
    <cellStyle name="40% - Accent1 3 3 3" xfId="4036"/>
    <cellStyle name="40% - Accent1 3 3_Exh G" xfId="2744"/>
    <cellStyle name="40% - Accent1 3 4" xfId="937"/>
    <cellStyle name="40% - Accent1 3 4 2" xfId="1861"/>
    <cellStyle name="40% - Accent1 3 4 2 2" xfId="5379"/>
    <cellStyle name="40% - Accent1 3 4 2_Exh G" xfId="2747"/>
    <cellStyle name="40% - Accent1 3 4 3" xfId="4500"/>
    <cellStyle name="40% - Accent1 3 4_Exh G" xfId="2746"/>
    <cellStyle name="40% - Accent1 3 5" xfId="1382"/>
    <cellStyle name="40% - Accent1 3 5 2" xfId="4912"/>
    <cellStyle name="40% - Accent1 3 5_Exh G" xfId="2748"/>
    <cellStyle name="40% - Accent1 3 6" xfId="4033"/>
    <cellStyle name="40% - Accent1 3_Exh G" xfId="2737"/>
    <cellStyle name="40% - Accent1 4" xfId="358"/>
    <cellStyle name="40% - Accent1 4 2" xfId="359"/>
    <cellStyle name="40% - Accent1 4 2 2" xfId="360"/>
    <cellStyle name="40% - Accent1 4 2 2 2" xfId="1388"/>
    <cellStyle name="40% - Accent1 4 2 2 2 2" xfId="4918"/>
    <cellStyle name="40% - Accent1 4 2 2 2_Exh G" xfId="2752"/>
    <cellStyle name="40% - Accent1 4 2 2 3" xfId="4039"/>
    <cellStyle name="40% - Accent1 4 2 2_Exh G" xfId="2751"/>
    <cellStyle name="40% - Accent1 4 2 3" xfId="940"/>
    <cellStyle name="40% - Accent1 4 2 3 2" xfId="1864"/>
    <cellStyle name="40% - Accent1 4 2 3 2 2" xfId="5382"/>
    <cellStyle name="40% - Accent1 4 2 3 2_Exh G" xfId="2754"/>
    <cellStyle name="40% - Accent1 4 2 3 3" xfId="4503"/>
    <cellStyle name="40% - Accent1 4 2 3_Exh G" xfId="2753"/>
    <cellStyle name="40% - Accent1 4 2 4" xfId="1387"/>
    <cellStyle name="40% - Accent1 4 2 4 2" xfId="4917"/>
    <cellStyle name="40% - Accent1 4 2 4_Exh G" xfId="2755"/>
    <cellStyle name="40% - Accent1 4 2 5" xfId="4038"/>
    <cellStyle name="40% - Accent1 4 2_Exh G" xfId="2750"/>
    <cellStyle name="40% - Accent1 4 3" xfId="361"/>
    <cellStyle name="40% - Accent1 4 3 2" xfId="1389"/>
    <cellStyle name="40% - Accent1 4 3 2 2" xfId="4919"/>
    <cellStyle name="40% - Accent1 4 3 2_Exh G" xfId="2757"/>
    <cellStyle name="40% - Accent1 4 3 3" xfId="4040"/>
    <cellStyle name="40% - Accent1 4 3_Exh G" xfId="2756"/>
    <cellStyle name="40% - Accent1 4 4" xfId="939"/>
    <cellStyle name="40% - Accent1 4 4 2" xfId="1863"/>
    <cellStyle name="40% - Accent1 4 4 2 2" xfId="5381"/>
    <cellStyle name="40% - Accent1 4 4 2_Exh G" xfId="2759"/>
    <cellStyle name="40% - Accent1 4 4 3" xfId="4502"/>
    <cellStyle name="40% - Accent1 4 4_Exh G" xfId="2758"/>
    <cellStyle name="40% - Accent1 4 5" xfId="1386"/>
    <cellStyle name="40% - Accent1 4 5 2" xfId="4916"/>
    <cellStyle name="40% - Accent1 4 5_Exh G" xfId="2760"/>
    <cellStyle name="40% - Accent1 4 6" xfId="4037"/>
    <cellStyle name="40% - Accent1 4_Exh G" xfId="2749"/>
    <cellStyle name="40% - Accent1 5" xfId="362"/>
    <cellStyle name="40% - Accent1 5 2" xfId="363"/>
    <cellStyle name="40% - Accent1 5 2 2" xfId="364"/>
    <cellStyle name="40% - Accent1 5 2 2 2" xfId="1392"/>
    <cellStyle name="40% - Accent1 5 2 2 2 2" xfId="4922"/>
    <cellStyle name="40% - Accent1 5 2 2 2_Exh G" xfId="2764"/>
    <cellStyle name="40% - Accent1 5 2 2 3" xfId="4043"/>
    <cellStyle name="40% - Accent1 5 2 2_Exh G" xfId="2763"/>
    <cellStyle name="40% - Accent1 5 2 3" xfId="1391"/>
    <cellStyle name="40% - Accent1 5 2 3 2" xfId="4921"/>
    <cellStyle name="40% - Accent1 5 2 3_Exh G" xfId="2765"/>
    <cellStyle name="40% - Accent1 5 2 4" xfId="4042"/>
    <cellStyle name="40% - Accent1 5 2_Exh G" xfId="2762"/>
    <cellStyle name="40% - Accent1 5 3" xfId="365"/>
    <cellStyle name="40% - Accent1 5 3 2" xfId="1393"/>
    <cellStyle name="40% - Accent1 5 3 2 2" xfId="4923"/>
    <cellStyle name="40% - Accent1 5 3 2_Exh G" xfId="2767"/>
    <cellStyle name="40% - Accent1 5 3 3" xfId="4044"/>
    <cellStyle name="40% - Accent1 5 3_Exh G" xfId="2766"/>
    <cellStyle name="40% - Accent1 5 4" xfId="941"/>
    <cellStyle name="40% - Accent1 5 5" xfId="1390"/>
    <cellStyle name="40% - Accent1 5 5 2" xfId="4920"/>
    <cellStyle name="40% - Accent1 5 5_Exh G" xfId="2768"/>
    <cellStyle name="40% - Accent1 5 6" xfId="4041"/>
    <cellStyle name="40% - Accent1 5_Exh G" xfId="2761"/>
    <cellStyle name="40% - Accent1 6" xfId="366"/>
    <cellStyle name="40% - Accent1 6 2" xfId="367"/>
    <cellStyle name="40% - Accent1 6 2 2" xfId="368"/>
    <cellStyle name="40% - Accent1 6 2 2 2" xfId="1396"/>
    <cellStyle name="40% - Accent1 6 2 2 2 2" xfId="4926"/>
    <cellStyle name="40% - Accent1 6 2 2 2_Exh G" xfId="2772"/>
    <cellStyle name="40% - Accent1 6 2 2 3" xfId="4047"/>
    <cellStyle name="40% - Accent1 6 2 2_Exh G" xfId="2771"/>
    <cellStyle name="40% - Accent1 6 2 3" xfId="1395"/>
    <cellStyle name="40% - Accent1 6 2 3 2" xfId="4925"/>
    <cellStyle name="40% - Accent1 6 2 3_Exh G" xfId="2773"/>
    <cellStyle name="40% - Accent1 6 2 4" xfId="4046"/>
    <cellStyle name="40% - Accent1 6 2_Exh G" xfId="2770"/>
    <cellStyle name="40% - Accent1 6 3" xfId="369"/>
    <cellStyle name="40% - Accent1 6 3 2" xfId="1397"/>
    <cellStyle name="40% - Accent1 6 3 2 2" xfId="4927"/>
    <cellStyle name="40% - Accent1 6 3 2_Exh G" xfId="2775"/>
    <cellStyle name="40% - Accent1 6 3 3" xfId="4048"/>
    <cellStyle name="40% - Accent1 6 3_Exh G" xfId="2774"/>
    <cellStyle name="40% - Accent1 6 4" xfId="942"/>
    <cellStyle name="40% - Accent1 6 4 2" xfId="1865"/>
    <cellStyle name="40% - Accent1 6 4 2 2" xfId="5383"/>
    <cellStyle name="40% - Accent1 6 4 2_Exh G" xfId="2777"/>
    <cellStyle name="40% - Accent1 6 4 3" xfId="4504"/>
    <cellStyle name="40% - Accent1 6 4_Exh G" xfId="2776"/>
    <cellStyle name="40% - Accent1 6 5" xfId="1394"/>
    <cellStyle name="40% - Accent1 6 5 2" xfId="4924"/>
    <cellStyle name="40% - Accent1 6 5_Exh G" xfId="2778"/>
    <cellStyle name="40% - Accent1 6 6" xfId="4045"/>
    <cellStyle name="40% - Accent1 6_Exh G" xfId="2769"/>
    <cellStyle name="40% - Accent1 7" xfId="370"/>
    <cellStyle name="40% - Accent1 7 2" xfId="371"/>
    <cellStyle name="40% - Accent1 7 2 2" xfId="372"/>
    <cellStyle name="40% - Accent1 7 2 2 2" xfId="1400"/>
    <cellStyle name="40% - Accent1 7 2 2 2 2" xfId="4930"/>
    <cellStyle name="40% - Accent1 7 2 2 2_Exh G" xfId="2782"/>
    <cellStyle name="40% - Accent1 7 2 2 3" xfId="4051"/>
    <cellStyle name="40% - Accent1 7 2 2_Exh G" xfId="2781"/>
    <cellStyle name="40% - Accent1 7 2 3" xfId="1399"/>
    <cellStyle name="40% - Accent1 7 2 3 2" xfId="4929"/>
    <cellStyle name="40% - Accent1 7 2 3_Exh G" xfId="2783"/>
    <cellStyle name="40% - Accent1 7 2 4" xfId="4050"/>
    <cellStyle name="40% - Accent1 7 2_Exh G" xfId="2780"/>
    <cellStyle name="40% - Accent1 7 3" xfId="373"/>
    <cellStyle name="40% - Accent1 7 3 2" xfId="1401"/>
    <cellStyle name="40% - Accent1 7 3 2 2" xfId="4931"/>
    <cellStyle name="40% - Accent1 7 3 2_Exh G" xfId="2785"/>
    <cellStyle name="40% - Accent1 7 3 3" xfId="4052"/>
    <cellStyle name="40% - Accent1 7 3_Exh G" xfId="2784"/>
    <cellStyle name="40% - Accent1 7 4" xfId="943"/>
    <cellStyle name="40% - Accent1 7 4 2" xfId="1866"/>
    <cellStyle name="40% - Accent1 7 4 2 2" xfId="5384"/>
    <cellStyle name="40% - Accent1 7 4 2_Exh G" xfId="2787"/>
    <cellStyle name="40% - Accent1 7 4 3" xfId="4505"/>
    <cellStyle name="40% - Accent1 7 4_Exh G" xfId="2786"/>
    <cellStyle name="40% - Accent1 7 5" xfId="1398"/>
    <cellStyle name="40% - Accent1 7 5 2" xfId="4928"/>
    <cellStyle name="40% - Accent1 7 5_Exh G" xfId="2788"/>
    <cellStyle name="40% - Accent1 7 6" xfId="4049"/>
    <cellStyle name="40% - Accent1 7_Exh G" xfId="2779"/>
    <cellStyle name="40% - Accent1 8" xfId="374"/>
    <cellStyle name="40% - Accent1 8 2" xfId="375"/>
    <cellStyle name="40% - Accent1 8 2 2" xfId="376"/>
    <cellStyle name="40% - Accent1 8 2 2 2" xfId="1404"/>
    <cellStyle name="40% - Accent1 8 2 2 2 2" xfId="4934"/>
    <cellStyle name="40% - Accent1 8 2 2 2_Exh G" xfId="2792"/>
    <cellStyle name="40% - Accent1 8 2 2 3" xfId="4055"/>
    <cellStyle name="40% - Accent1 8 2 2_Exh G" xfId="2791"/>
    <cellStyle name="40% - Accent1 8 2 3" xfId="1403"/>
    <cellStyle name="40% - Accent1 8 2 3 2" xfId="4933"/>
    <cellStyle name="40% - Accent1 8 2 3_Exh G" xfId="2793"/>
    <cellStyle name="40% - Accent1 8 2 4" xfId="4054"/>
    <cellStyle name="40% - Accent1 8 2_Exh G" xfId="2790"/>
    <cellStyle name="40% - Accent1 8 3" xfId="377"/>
    <cellStyle name="40% - Accent1 8 3 2" xfId="1405"/>
    <cellStyle name="40% - Accent1 8 3 2 2" xfId="4935"/>
    <cellStyle name="40% - Accent1 8 3 2_Exh G" xfId="2795"/>
    <cellStyle name="40% - Accent1 8 3 3" xfId="4056"/>
    <cellStyle name="40% - Accent1 8 3_Exh G" xfId="2794"/>
    <cellStyle name="40% - Accent1 8 4" xfId="944"/>
    <cellStyle name="40% - Accent1 8 4 2" xfId="1867"/>
    <cellStyle name="40% - Accent1 8 4 2 2" xfId="5385"/>
    <cellStyle name="40% - Accent1 8 4 2_Exh G" xfId="2797"/>
    <cellStyle name="40% - Accent1 8 4 3" xfId="4506"/>
    <cellStyle name="40% - Accent1 8 4_Exh G" xfId="2796"/>
    <cellStyle name="40% - Accent1 8 5" xfId="1402"/>
    <cellStyle name="40% - Accent1 8 5 2" xfId="4932"/>
    <cellStyle name="40% - Accent1 8 5_Exh G" xfId="2798"/>
    <cellStyle name="40% - Accent1 8 6" xfId="4053"/>
    <cellStyle name="40% - Accent1 8_Exh G" xfId="2789"/>
    <cellStyle name="40% - Accent1 9" xfId="378"/>
    <cellStyle name="40% - Accent1 9 2" xfId="379"/>
    <cellStyle name="40% - Accent1 9 2 2" xfId="380"/>
    <cellStyle name="40% - Accent1 9 2 2 2" xfId="1408"/>
    <cellStyle name="40% - Accent1 9 2 2 2 2" xfId="4938"/>
    <cellStyle name="40% - Accent1 9 2 2 2_Exh G" xfId="2802"/>
    <cellStyle name="40% - Accent1 9 2 2 3" xfId="4059"/>
    <cellStyle name="40% - Accent1 9 2 2_Exh G" xfId="2801"/>
    <cellStyle name="40% - Accent1 9 2 3" xfId="1407"/>
    <cellStyle name="40% - Accent1 9 2 3 2" xfId="4937"/>
    <cellStyle name="40% - Accent1 9 2 3_Exh G" xfId="2803"/>
    <cellStyle name="40% - Accent1 9 2 4" xfId="4058"/>
    <cellStyle name="40% - Accent1 9 2_Exh G" xfId="2800"/>
    <cellStyle name="40% - Accent1 9 3" xfId="381"/>
    <cellStyle name="40% - Accent1 9 3 2" xfId="1409"/>
    <cellStyle name="40% - Accent1 9 3 2 2" xfId="4939"/>
    <cellStyle name="40% - Accent1 9 3 2_Exh G" xfId="2805"/>
    <cellStyle name="40% - Accent1 9 3 3" xfId="4060"/>
    <cellStyle name="40% - Accent1 9 3_Exh G" xfId="2804"/>
    <cellStyle name="40% - Accent1 9 4" xfId="945"/>
    <cellStyle name="40% - Accent1 9 4 2" xfId="1868"/>
    <cellStyle name="40% - Accent1 9 4 2 2" xfId="5386"/>
    <cellStyle name="40% - Accent1 9 4 2_Exh G" xfId="2807"/>
    <cellStyle name="40% - Accent1 9 4 3" xfId="4507"/>
    <cellStyle name="40% - Accent1 9 4_Exh G" xfId="2806"/>
    <cellStyle name="40% - Accent1 9 5" xfId="1406"/>
    <cellStyle name="40% - Accent1 9 5 2" xfId="4936"/>
    <cellStyle name="40% - Accent1 9 5_Exh G" xfId="2808"/>
    <cellStyle name="40% - Accent1 9 6" xfId="4057"/>
    <cellStyle name="40% - Accent1 9_Exh G" xfId="2799"/>
    <cellStyle name="40% - Accent2 10" xfId="382"/>
    <cellStyle name="40% - Accent2 10 2" xfId="383"/>
    <cellStyle name="40% - Accent2 10 2 2" xfId="384"/>
    <cellStyle name="40% - Accent2 10 2 2 2" xfId="1412"/>
    <cellStyle name="40% - Accent2 10 2 2 2 2" xfId="4942"/>
    <cellStyle name="40% - Accent2 10 2 2 2_Exh G" xfId="2812"/>
    <cellStyle name="40% - Accent2 10 2 2 3" xfId="4063"/>
    <cellStyle name="40% - Accent2 10 2 2_Exh G" xfId="2811"/>
    <cellStyle name="40% - Accent2 10 2 3" xfId="1411"/>
    <cellStyle name="40% - Accent2 10 2 3 2" xfId="4941"/>
    <cellStyle name="40% - Accent2 10 2 3_Exh G" xfId="2813"/>
    <cellStyle name="40% - Accent2 10 2 4" xfId="4062"/>
    <cellStyle name="40% - Accent2 10 2_Exh G" xfId="2810"/>
    <cellStyle name="40% - Accent2 10 3" xfId="385"/>
    <cellStyle name="40% - Accent2 10 3 2" xfId="1413"/>
    <cellStyle name="40% - Accent2 10 3 2 2" xfId="4943"/>
    <cellStyle name="40% - Accent2 10 3 2_Exh G" xfId="2815"/>
    <cellStyle name="40% - Accent2 10 3 3" xfId="4064"/>
    <cellStyle name="40% - Accent2 10 3_Exh G" xfId="2814"/>
    <cellStyle name="40% - Accent2 10 4" xfId="946"/>
    <cellStyle name="40% - Accent2 10 5" xfId="1410"/>
    <cellStyle name="40% - Accent2 10 5 2" xfId="4940"/>
    <cellStyle name="40% - Accent2 10 5_Exh G" xfId="2816"/>
    <cellStyle name="40% - Accent2 10 6" xfId="4061"/>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_Exh G" xfId="2820"/>
    <cellStyle name="40% - Accent2 11 2 2 3" xfId="4067"/>
    <cellStyle name="40% - Accent2 11 2 2_Exh G" xfId="2819"/>
    <cellStyle name="40% - Accent2 11 2 3" xfId="1415"/>
    <cellStyle name="40% - Accent2 11 2 3 2" xfId="4945"/>
    <cellStyle name="40% - Accent2 11 2 3_Exh G" xfId="2821"/>
    <cellStyle name="40% - Accent2 11 2 4" xfId="4066"/>
    <cellStyle name="40% - Accent2 11 2_Exh G" xfId="2818"/>
    <cellStyle name="40% - Accent2 11 3" xfId="389"/>
    <cellStyle name="40% - Accent2 11 3 2" xfId="1417"/>
    <cellStyle name="40% - Accent2 11 3 2 2" xfId="4947"/>
    <cellStyle name="40% - Accent2 11 3 2_Exh G" xfId="2823"/>
    <cellStyle name="40% - Accent2 11 3 3" xfId="4068"/>
    <cellStyle name="40% - Accent2 11 3_Exh G" xfId="2822"/>
    <cellStyle name="40% - Accent2 11 4" xfId="1414"/>
    <cellStyle name="40% - Accent2 11 4 2" xfId="4944"/>
    <cellStyle name="40% - Accent2 11 4_Exh G" xfId="2824"/>
    <cellStyle name="40% - Accent2 11 5" xfId="4065"/>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_Exh G" xfId="2828"/>
    <cellStyle name="40% - Accent2 12 2 2 3" xfId="4071"/>
    <cellStyle name="40% - Accent2 12 2 2_Exh G" xfId="2827"/>
    <cellStyle name="40% - Accent2 12 2 3" xfId="1419"/>
    <cellStyle name="40% - Accent2 12 2 3 2" xfId="4949"/>
    <cellStyle name="40% - Accent2 12 2 3_Exh G" xfId="2829"/>
    <cellStyle name="40% - Accent2 12 2 4" xfId="4070"/>
    <cellStyle name="40% - Accent2 12 2_Exh G" xfId="2826"/>
    <cellStyle name="40% - Accent2 12 3" xfId="393"/>
    <cellStyle name="40% - Accent2 12 3 2" xfId="1421"/>
    <cellStyle name="40% - Accent2 12 3 2 2" xfId="4951"/>
    <cellStyle name="40% - Accent2 12 3 2_Exh G" xfId="2831"/>
    <cellStyle name="40% - Accent2 12 3 3" xfId="4072"/>
    <cellStyle name="40% - Accent2 12 3_Exh G" xfId="2830"/>
    <cellStyle name="40% - Accent2 12 4" xfId="1418"/>
    <cellStyle name="40% - Accent2 12 4 2" xfId="4948"/>
    <cellStyle name="40% - Accent2 12 4_Exh G" xfId="2832"/>
    <cellStyle name="40% - Accent2 12 5" xfId="4069"/>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_Exh G" xfId="2836"/>
    <cellStyle name="40% - Accent2 13 2 2 3" xfId="4075"/>
    <cellStyle name="40% - Accent2 13 2 2_Exh G" xfId="2835"/>
    <cellStyle name="40% - Accent2 13 2 3" xfId="1423"/>
    <cellStyle name="40% - Accent2 13 2 3 2" xfId="4953"/>
    <cellStyle name="40% - Accent2 13 2 3_Exh G" xfId="2837"/>
    <cellStyle name="40% - Accent2 13 2 4" xfId="4074"/>
    <cellStyle name="40% - Accent2 13 2_Exh G" xfId="2834"/>
    <cellStyle name="40% - Accent2 13 3" xfId="397"/>
    <cellStyle name="40% - Accent2 13 3 2" xfId="1425"/>
    <cellStyle name="40% - Accent2 13 3 2 2" xfId="4955"/>
    <cellStyle name="40% - Accent2 13 3 2_Exh G" xfId="2839"/>
    <cellStyle name="40% - Accent2 13 3 3" xfId="4076"/>
    <cellStyle name="40% - Accent2 13 3_Exh G" xfId="2838"/>
    <cellStyle name="40% - Accent2 13 4" xfId="1422"/>
    <cellStyle name="40% - Accent2 13 4 2" xfId="4952"/>
    <cellStyle name="40% - Accent2 13 4_Exh G" xfId="2840"/>
    <cellStyle name="40% - Accent2 13 5" xfId="4073"/>
    <cellStyle name="40% - Accent2 13_Exh G" xfId="2833"/>
    <cellStyle name="40% - Accent2 14" xfId="398"/>
    <cellStyle name="40% - Accent2 14 2" xfId="399"/>
    <cellStyle name="40% - Accent2 14 2 2" xfId="1427"/>
    <cellStyle name="40% - Accent2 14 2 2 2" xfId="4957"/>
    <cellStyle name="40% - Accent2 14 2 2_Exh G" xfId="2843"/>
    <cellStyle name="40% - Accent2 14 2 3" xfId="4078"/>
    <cellStyle name="40% - Accent2 14 2_Exh G" xfId="2842"/>
    <cellStyle name="40% - Accent2 14 3" xfId="1426"/>
    <cellStyle name="40% - Accent2 14 3 2" xfId="4956"/>
    <cellStyle name="40% - Accent2 14 3_Exh G" xfId="2844"/>
    <cellStyle name="40% - Accent2 14 4" xfId="4077"/>
    <cellStyle name="40% - Accent2 14_Exh G" xfId="2841"/>
    <cellStyle name="40% - Accent2 15" xfId="400"/>
    <cellStyle name="40% - Accent2 15 2" xfId="1428"/>
    <cellStyle name="40% - Accent2 15 2 2" xfId="4958"/>
    <cellStyle name="40% - Accent2 15 2_Exh G" xfId="2846"/>
    <cellStyle name="40% - Accent2 15 3" xfId="4079"/>
    <cellStyle name="40% - Accent2 15_Exh G" xfId="2845"/>
    <cellStyle name="40% - Accent2 16" xfId="850"/>
    <cellStyle name="40% - Accent2 16 2" xfId="1789"/>
    <cellStyle name="40% - Accent2 16 2 2" xfId="5310"/>
    <cellStyle name="40% - Accent2 16 2_Exh G" xfId="2848"/>
    <cellStyle name="40% - Accent2 16 3" xfId="4431"/>
    <cellStyle name="40% - Accent2 16_Exh G" xfId="2847"/>
    <cellStyle name="40% - Accent2 2" xfId="401"/>
    <cellStyle name="40% - Accent2 2 2" xfId="402"/>
    <cellStyle name="40% - Accent2 2 2 2" xfId="403"/>
    <cellStyle name="40% - Accent2 2 2 2 2" xfId="1431"/>
    <cellStyle name="40% - Accent2 2 2 2 2 2" xfId="4961"/>
    <cellStyle name="40% - Accent2 2 2 2 2_Exh G" xfId="2852"/>
    <cellStyle name="40% - Accent2 2 2 2 3" xfId="4082"/>
    <cellStyle name="40% - Accent2 2 2 2_Exh G" xfId="2851"/>
    <cellStyle name="40% - Accent2 2 2 3" xfId="948"/>
    <cellStyle name="40% - Accent2 2 2 3 2" xfId="1870"/>
    <cellStyle name="40% - Accent2 2 2 3 2 2" xfId="5388"/>
    <cellStyle name="40% - Accent2 2 2 3 2_Exh G" xfId="2854"/>
    <cellStyle name="40% - Accent2 2 2 3 3" xfId="4509"/>
    <cellStyle name="40% - Accent2 2 2 3_Exh G" xfId="2853"/>
    <cellStyle name="40% - Accent2 2 2 4" xfId="1430"/>
    <cellStyle name="40% - Accent2 2 2 4 2" xfId="4960"/>
    <cellStyle name="40% - Accent2 2 2 4_Exh G" xfId="2855"/>
    <cellStyle name="40% - Accent2 2 2 5" xfId="4081"/>
    <cellStyle name="40% - Accent2 2 2_Exh G" xfId="2850"/>
    <cellStyle name="40% - Accent2 2 3" xfId="404"/>
    <cellStyle name="40% - Accent2 2 3 2" xfId="1432"/>
    <cellStyle name="40% - Accent2 2 3 2 2" xfId="4962"/>
    <cellStyle name="40% - Accent2 2 3 2_Exh G" xfId="2857"/>
    <cellStyle name="40% - Accent2 2 3 3" xfId="4083"/>
    <cellStyle name="40% - Accent2 2 3_Exh G" xfId="2856"/>
    <cellStyle name="40% - Accent2 2 4" xfId="947"/>
    <cellStyle name="40% - Accent2 2 4 2" xfId="1869"/>
    <cellStyle name="40% - Accent2 2 4 2 2" xfId="5387"/>
    <cellStyle name="40% - Accent2 2 4 2_Exh G" xfId="2859"/>
    <cellStyle name="40% - Accent2 2 4 3" xfId="4508"/>
    <cellStyle name="40% - Accent2 2 4_Exh G" xfId="2858"/>
    <cellStyle name="40% - Accent2 2 5" xfId="1429"/>
    <cellStyle name="40% - Accent2 2 5 2" xfId="4959"/>
    <cellStyle name="40% - Accent2 2 5_Exh G" xfId="2860"/>
    <cellStyle name="40% - Accent2 2 6" xfId="4080"/>
    <cellStyle name="40% - Accent2 2_Exh G" xfId="2849"/>
    <cellStyle name="40% - Accent2 3" xfId="405"/>
    <cellStyle name="40% - Accent2 3 2" xfId="406"/>
    <cellStyle name="40% - Accent2 3 2 2" xfId="407"/>
    <cellStyle name="40% - Accent2 3 2 2 2" xfId="1435"/>
    <cellStyle name="40% - Accent2 3 2 2 2 2" xfId="4965"/>
    <cellStyle name="40% - Accent2 3 2 2 2_Exh G" xfId="2864"/>
    <cellStyle name="40% - Accent2 3 2 2 3" xfId="4086"/>
    <cellStyle name="40% - Accent2 3 2 2_Exh G" xfId="2863"/>
    <cellStyle name="40% - Accent2 3 2 3" xfId="950"/>
    <cellStyle name="40% - Accent2 3 2 3 2" xfId="1872"/>
    <cellStyle name="40% - Accent2 3 2 3 2 2" xfId="5390"/>
    <cellStyle name="40% - Accent2 3 2 3 2_Exh G" xfId="2866"/>
    <cellStyle name="40% - Accent2 3 2 3 3" xfId="4511"/>
    <cellStyle name="40% - Accent2 3 2 3_Exh G" xfId="2865"/>
    <cellStyle name="40% - Accent2 3 2 4" xfId="1434"/>
    <cellStyle name="40% - Accent2 3 2 4 2" xfId="4964"/>
    <cellStyle name="40% - Accent2 3 2 4_Exh G" xfId="2867"/>
    <cellStyle name="40% - Accent2 3 2 5" xfId="4085"/>
    <cellStyle name="40% - Accent2 3 2_Exh G" xfId="2862"/>
    <cellStyle name="40% - Accent2 3 3" xfId="408"/>
    <cellStyle name="40% - Accent2 3 3 2" xfId="1436"/>
    <cellStyle name="40% - Accent2 3 3 2 2" xfId="4966"/>
    <cellStyle name="40% - Accent2 3 3 2_Exh G" xfId="2869"/>
    <cellStyle name="40% - Accent2 3 3 3" xfId="4087"/>
    <cellStyle name="40% - Accent2 3 3_Exh G" xfId="2868"/>
    <cellStyle name="40% - Accent2 3 4" xfId="949"/>
    <cellStyle name="40% - Accent2 3 4 2" xfId="1871"/>
    <cellStyle name="40% - Accent2 3 4 2 2" xfId="5389"/>
    <cellStyle name="40% - Accent2 3 4 2_Exh G" xfId="2871"/>
    <cellStyle name="40% - Accent2 3 4 3" xfId="4510"/>
    <cellStyle name="40% - Accent2 3 4_Exh G" xfId="2870"/>
    <cellStyle name="40% - Accent2 3 5" xfId="1433"/>
    <cellStyle name="40% - Accent2 3 5 2" xfId="4963"/>
    <cellStyle name="40% - Accent2 3 5_Exh G" xfId="2872"/>
    <cellStyle name="40% - Accent2 3 6" xfId="4084"/>
    <cellStyle name="40% - Accent2 3_Exh G" xfId="2861"/>
    <cellStyle name="40% - Accent2 4" xfId="409"/>
    <cellStyle name="40% - Accent2 4 2" xfId="410"/>
    <cellStyle name="40% - Accent2 4 2 2" xfId="411"/>
    <cellStyle name="40% - Accent2 4 2 2 2" xfId="1439"/>
    <cellStyle name="40% - Accent2 4 2 2 2 2" xfId="4969"/>
    <cellStyle name="40% - Accent2 4 2 2 2_Exh G" xfId="2876"/>
    <cellStyle name="40% - Accent2 4 2 2 3" xfId="4090"/>
    <cellStyle name="40% - Accent2 4 2 2_Exh G" xfId="2875"/>
    <cellStyle name="40% - Accent2 4 2 3" xfId="952"/>
    <cellStyle name="40% - Accent2 4 2 3 2" xfId="1874"/>
    <cellStyle name="40% - Accent2 4 2 3 2 2" xfId="5392"/>
    <cellStyle name="40% - Accent2 4 2 3 2_Exh G" xfId="2878"/>
    <cellStyle name="40% - Accent2 4 2 3 3" xfId="4513"/>
    <cellStyle name="40% - Accent2 4 2 3_Exh G" xfId="2877"/>
    <cellStyle name="40% - Accent2 4 2 4" xfId="1438"/>
    <cellStyle name="40% - Accent2 4 2 4 2" xfId="4968"/>
    <cellStyle name="40% - Accent2 4 2 4_Exh G" xfId="2879"/>
    <cellStyle name="40% - Accent2 4 2 5" xfId="4089"/>
    <cellStyle name="40% - Accent2 4 2_Exh G" xfId="2874"/>
    <cellStyle name="40% - Accent2 4 3" xfId="412"/>
    <cellStyle name="40% - Accent2 4 3 2" xfId="1440"/>
    <cellStyle name="40% - Accent2 4 3 2 2" xfId="4970"/>
    <cellStyle name="40% - Accent2 4 3 2_Exh G" xfId="2881"/>
    <cellStyle name="40% - Accent2 4 3 3" xfId="4091"/>
    <cellStyle name="40% - Accent2 4 3_Exh G" xfId="2880"/>
    <cellStyle name="40% - Accent2 4 4" xfId="951"/>
    <cellStyle name="40% - Accent2 4 4 2" xfId="1873"/>
    <cellStyle name="40% - Accent2 4 4 2 2" xfId="5391"/>
    <cellStyle name="40% - Accent2 4 4 2_Exh G" xfId="2883"/>
    <cellStyle name="40% - Accent2 4 4 3" xfId="4512"/>
    <cellStyle name="40% - Accent2 4 4_Exh G" xfId="2882"/>
    <cellStyle name="40% - Accent2 4 5" xfId="1437"/>
    <cellStyle name="40% - Accent2 4 5 2" xfId="4967"/>
    <cellStyle name="40% - Accent2 4 5_Exh G" xfId="2884"/>
    <cellStyle name="40% - Accent2 4 6" xfId="4088"/>
    <cellStyle name="40% - Accent2 4_Exh G" xfId="2873"/>
    <cellStyle name="40% - Accent2 5" xfId="413"/>
    <cellStyle name="40% - Accent2 5 2" xfId="414"/>
    <cellStyle name="40% - Accent2 5 2 2" xfId="415"/>
    <cellStyle name="40% - Accent2 5 2 2 2" xfId="1443"/>
    <cellStyle name="40% - Accent2 5 2 2 2 2" xfId="4973"/>
    <cellStyle name="40% - Accent2 5 2 2 2_Exh G" xfId="2888"/>
    <cellStyle name="40% - Accent2 5 2 2 3" xfId="4094"/>
    <cellStyle name="40% - Accent2 5 2 2_Exh G" xfId="2887"/>
    <cellStyle name="40% - Accent2 5 2 3" xfId="1442"/>
    <cellStyle name="40% - Accent2 5 2 3 2" xfId="4972"/>
    <cellStyle name="40% - Accent2 5 2 3_Exh G" xfId="2889"/>
    <cellStyle name="40% - Accent2 5 2 4" xfId="4093"/>
    <cellStyle name="40% - Accent2 5 2_Exh G" xfId="2886"/>
    <cellStyle name="40% - Accent2 5 3" xfId="416"/>
    <cellStyle name="40% - Accent2 5 3 2" xfId="1444"/>
    <cellStyle name="40% - Accent2 5 3 2 2" xfId="4974"/>
    <cellStyle name="40% - Accent2 5 3 2_Exh G" xfId="2891"/>
    <cellStyle name="40% - Accent2 5 3 3" xfId="4095"/>
    <cellStyle name="40% - Accent2 5 3_Exh G" xfId="2890"/>
    <cellStyle name="40% - Accent2 5 4" xfId="953"/>
    <cellStyle name="40% - Accent2 5 5" xfId="1441"/>
    <cellStyle name="40% - Accent2 5 5 2" xfId="4971"/>
    <cellStyle name="40% - Accent2 5 5_Exh G" xfId="2892"/>
    <cellStyle name="40% - Accent2 5 6" xfId="4092"/>
    <cellStyle name="40% - Accent2 5_Exh G" xfId="2885"/>
    <cellStyle name="40% - Accent2 6" xfId="417"/>
    <cellStyle name="40% - Accent2 6 2" xfId="418"/>
    <cellStyle name="40% - Accent2 6 2 2" xfId="419"/>
    <cellStyle name="40% - Accent2 6 2 2 2" xfId="1447"/>
    <cellStyle name="40% - Accent2 6 2 2 2 2" xfId="4977"/>
    <cellStyle name="40% - Accent2 6 2 2 2_Exh G" xfId="2896"/>
    <cellStyle name="40% - Accent2 6 2 2 3" xfId="4098"/>
    <cellStyle name="40% - Accent2 6 2 2_Exh G" xfId="2895"/>
    <cellStyle name="40% - Accent2 6 2 3" xfId="1446"/>
    <cellStyle name="40% - Accent2 6 2 3 2" xfId="4976"/>
    <cellStyle name="40% - Accent2 6 2 3_Exh G" xfId="2897"/>
    <cellStyle name="40% - Accent2 6 2 4" xfId="4097"/>
    <cellStyle name="40% - Accent2 6 2_Exh G" xfId="2894"/>
    <cellStyle name="40% - Accent2 6 3" xfId="420"/>
    <cellStyle name="40% - Accent2 6 3 2" xfId="1448"/>
    <cellStyle name="40% - Accent2 6 3 2 2" xfId="4978"/>
    <cellStyle name="40% - Accent2 6 3 2_Exh G" xfId="2899"/>
    <cellStyle name="40% - Accent2 6 3 3" xfId="4099"/>
    <cellStyle name="40% - Accent2 6 3_Exh G" xfId="2898"/>
    <cellStyle name="40% - Accent2 6 4" xfId="954"/>
    <cellStyle name="40% - Accent2 6 4 2" xfId="1875"/>
    <cellStyle name="40% - Accent2 6 4 2 2" xfId="5393"/>
    <cellStyle name="40% - Accent2 6 4 2_Exh G" xfId="2901"/>
    <cellStyle name="40% - Accent2 6 4 3" xfId="4514"/>
    <cellStyle name="40% - Accent2 6 4_Exh G" xfId="2900"/>
    <cellStyle name="40% - Accent2 6 5" xfId="1445"/>
    <cellStyle name="40% - Accent2 6 5 2" xfId="4975"/>
    <cellStyle name="40% - Accent2 6 5_Exh G" xfId="2902"/>
    <cellStyle name="40% - Accent2 6 6" xfId="4096"/>
    <cellStyle name="40% - Accent2 6_Exh G" xfId="2893"/>
    <cellStyle name="40% - Accent2 7" xfId="421"/>
    <cellStyle name="40% - Accent2 7 2" xfId="422"/>
    <cellStyle name="40% - Accent2 7 2 2" xfId="423"/>
    <cellStyle name="40% - Accent2 7 2 2 2" xfId="1451"/>
    <cellStyle name="40% - Accent2 7 2 2 2 2" xfId="4981"/>
    <cellStyle name="40% - Accent2 7 2 2 2_Exh G" xfId="2906"/>
    <cellStyle name="40% - Accent2 7 2 2 3" xfId="4102"/>
    <cellStyle name="40% - Accent2 7 2 2_Exh G" xfId="2905"/>
    <cellStyle name="40% - Accent2 7 2 3" xfId="1450"/>
    <cellStyle name="40% - Accent2 7 2 3 2" xfId="4980"/>
    <cellStyle name="40% - Accent2 7 2 3_Exh G" xfId="2907"/>
    <cellStyle name="40% - Accent2 7 2 4" xfId="4101"/>
    <cellStyle name="40% - Accent2 7 2_Exh G" xfId="2904"/>
    <cellStyle name="40% - Accent2 7 3" xfId="424"/>
    <cellStyle name="40% - Accent2 7 3 2" xfId="1452"/>
    <cellStyle name="40% - Accent2 7 3 2 2" xfId="4982"/>
    <cellStyle name="40% - Accent2 7 3 2_Exh G" xfId="2909"/>
    <cellStyle name="40% - Accent2 7 3 3" xfId="4103"/>
    <cellStyle name="40% - Accent2 7 3_Exh G" xfId="2908"/>
    <cellStyle name="40% - Accent2 7 4" xfId="955"/>
    <cellStyle name="40% - Accent2 7 4 2" xfId="1876"/>
    <cellStyle name="40% - Accent2 7 4 2 2" xfId="5394"/>
    <cellStyle name="40% - Accent2 7 4 2_Exh G" xfId="2911"/>
    <cellStyle name="40% - Accent2 7 4 3" xfId="4515"/>
    <cellStyle name="40% - Accent2 7 4_Exh G" xfId="2910"/>
    <cellStyle name="40% - Accent2 7 5" xfId="1449"/>
    <cellStyle name="40% - Accent2 7 5 2" xfId="4979"/>
    <cellStyle name="40% - Accent2 7 5_Exh G" xfId="2912"/>
    <cellStyle name="40% - Accent2 7 6" xfId="4100"/>
    <cellStyle name="40% - Accent2 7_Exh G" xfId="2903"/>
    <cellStyle name="40% - Accent2 8" xfId="425"/>
    <cellStyle name="40% - Accent2 8 2" xfId="426"/>
    <cellStyle name="40% - Accent2 8 2 2" xfId="427"/>
    <cellStyle name="40% - Accent2 8 2 2 2" xfId="1455"/>
    <cellStyle name="40% - Accent2 8 2 2 2 2" xfId="4985"/>
    <cellStyle name="40% - Accent2 8 2 2 2_Exh G" xfId="2916"/>
    <cellStyle name="40% - Accent2 8 2 2 3" xfId="4106"/>
    <cellStyle name="40% - Accent2 8 2 2_Exh G" xfId="2915"/>
    <cellStyle name="40% - Accent2 8 2 3" xfId="1454"/>
    <cellStyle name="40% - Accent2 8 2 3 2" xfId="4984"/>
    <cellStyle name="40% - Accent2 8 2 3_Exh G" xfId="2917"/>
    <cellStyle name="40% - Accent2 8 2 4" xfId="4105"/>
    <cellStyle name="40% - Accent2 8 2_Exh G" xfId="2914"/>
    <cellStyle name="40% - Accent2 8 3" xfId="428"/>
    <cellStyle name="40% - Accent2 8 3 2" xfId="1456"/>
    <cellStyle name="40% - Accent2 8 3 2 2" xfId="4986"/>
    <cellStyle name="40% - Accent2 8 3 2_Exh G" xfId="2919"/>
    <cellStyle name="40% - Accent2 8 3 3" xfId="4107"/>
    <cellStyle name="40% - Accent2 8 3_Exh G" xfId="2918"/>
    <cellStyle name="40% - Accent2 8 4" xfId="956"/>
    <cellStyle name="40% - Accent2 8 4 2" xfId="1877"/>
    <cellStyle name="40% - Accent2 8 4 2 2" xfId="5395"/>
    <cellStyle name="40% - Accent2 8 4 2_Exh G" xfId="2921"/>
    <cellStyle name="40% - Accent2 8 4 3" xfId="4516"/>
    <cellStyle name="40% - Accent2 8 4_Exh G" xfId="2920"/>
    <cellStyle name="40% - Accent2 8 5" xfId="1453"/>
    <cellStyle name="40% - Accent2 8 5 2" xfId="4983"/>
    <cellStyle name="40% - Accent2 8 5_Exh G" xfId="2922"/>
    <cellStyle name="40% - Accent2 8 6" xfId="4104"/>
    <cellStyle name="40% - Accent2 8_Exh G" xfId="2913"/>
    <cellStyle name="40% - Accent2 9" xfId="429"/>
    <cellStyle name="40% - Accent2 9 2" xfId="430"/>
    <cellStyle name="40% - Accent2 9 2 2" xfId="431"/>
    <cellStyle name="40% - Accent2 9 2 2 2" xfId="1459"/>
    <cellStyle name="40% - Accent2 9 2 2 2 2" xfId="4989"/>
    <cellStyle name="40% - Accent2 9 2 2 2_Exh G" xfId="2926"/>
    <cellStyle name="40% - Accent2 9 2 2 3" xfId="4110"/>
    <cellStyle name="40% - Accent2 9 2 2_Exh G" xfId="2925"/>
    <cellStyle name="40% - Accent2 9 2 3" xfId="1458"/>
    <cellStyle name="40% - Accent2 9 2 3 2" xfId="4988"/>
    <cellStyle name="40% - Accent2 9 2 3_Exh G" xfId="2927"/>
    <cellStyle name="40% - Accent2 9 2 4" xfId="4109"/>
    <cellStyle name="40% - Accent2 9 2_Exh G" xfId="2924"/>
    <cellStyle name="40% - Accent2 9 3" xfId="432"/>
    <cellStyle name="40% - Accent2 9 3 2" xfId="1460"/>
    <cellStyle name="40% - Accent2 9 3 2 2" xfId="4990"/>
    <cellStyle name="40% - Accent2 9 3 2_Exh G" xfId="2929"/>
    <cellStyle name="40% - Accent2 9 3 3" xfId="4111"/>
    <cellStyle name="40% - Accent2 9 3_Exh G" xfId="2928"/>
    <cellStyle name="40% - Accent2 9 4" xfId="957"/>
    <cellStyle name="40% - Accent2 9 4 2" xfId="1878"/>
    <cellStyle name="40% - Accent2 9 4 2 2" xfId="5396"/>
    <cellStyle name="40% - Accent2 9 4 2_Exh G" xfId="2931"/>
    <cellStyle name="40% - Accent2 9 4 3" xfId="4517"/>
    <cellStyle name="40% - Accent2 9 4_Exh G" xfId="2930"/>
    <cellStyle name="40% - Accent2 9 5" xfId="1457"/>
    <cellStyle name="40% - Accent2 9 5 2" xfId="4987"/>
    <cellStyle name="40% - Accent2 9 5_Exh G" xfId="2932"/>
    <cellStyle name="40% - Accent2 9 6" xfId="4108"/>
    <cellStyle name="40% - Accent2 9_Exh G" xfId="2923"/>
    <cellStyle name="40% - Accent3 10" xfId="433"/>
    <cellStyle name="40% - Accent3 10 2" xfId="434"/>
    <cellStyle name="40% - Accent3 10 2 2" xfId="435"/>
    <cellStyle name="40% - Accent3 10 2 2 2" xfId="1463"/>
    <cellStyle name="40% - Accent3 10 2 2 2 2" xfId="4993"/>
    <cellStyle name="40% - Accent3 10 2 2 2_Exh G" xfId="2936"/>
    <cellStyle name="40% - Accent3 10 2 2 3" xfId="4114"/>
    <cellStyle name="40% - Accent3 10 2 2_Exh G" xfId="2935"/>
    <cellStyle name="40% - Accent3 10 2 3" xfId="1462"/>
    <cellStyle name="40% - Accent3 10 2 3 2" xfId="4992"/>
    <cellStyle name="40% - Accent3 10 2 3_Exh G" xfId="2937"/>
    <cellStyle name="40% - Accent3 10 2 4" xfId="4113"/>
    <cellStyle name="40% - Accent3 10 2_Exh G" xfId="2934"/>
    <cellStyle name="40% - Accent3 10 3" xfId="436"/>
    <cellStyle name="40% - Accent3 10 3 2" xfId="1464"/>
    <cellStyle name="40% - Accent3 10 3 2 2" xfId="4994"/>
    <cellStyle name="40% - Accent3 10 3 2_Exh G" xfId="2939"/>
    <cellStyle name="40% - Accent3 10 3 3" xfId="4115"/>
    <cellStyle name="40% - Accent3 10 3_Exh G" xfId="2938"/>
    <cellStyle name="40% - Accent3 10 4" xfId="958"/>
    <cellStyle name="40% - Accent3 10 5" xfId="1461"/>
    <cellStyle name="40% - Accent3 10 5 2" xfId="4991"/>
    <cellStyle name="40% - Accent3 10 5_Exh G" xfId="2940"/>
    <cellStyle name="40% - Accent3 10 6" xfId="4112"/>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_Exh G" xfId="2944"/>
    <cellStyle name="40% - Accent3 11 2 2 3" xfId="4118"/>
    <cellStyle name="40% - Accent3 11 2 2_Exh G" xfId="2943"/>
    <cellStyle name="40% - Accent3 11 2 3" xfId="1466"/>
    <cellStyle name="40% - Accent3 11 2 3 2" xfId="4996"/>
    <cellStyle name="40% - Accent3 11 2 3_Exh G" xfId="2945"/>
    <cellStyle name="40% - Accent3 11 2 4" xfId="4117"/>
    <cellStyle name="40% - Accent3 11 2_Exh G" xfId="2942"/>
    <cellStyle name="40% - Accent3 11 3" xfId="440"/>
    <cellStyle name="40% - Accent3 11 3 2" xfId="1468"/>
    <cellStyle name="40% - Accent3 11 3 2 2" xfId="4998"/>
    <cellStyle name="40% - Accent3 11 3 2_Exh G" xfId="2947"/>
    <cellStyle name="40% - Accent3 11 3 3" xfId="4119"/>
    <cellStyle name="40% - Accent3 11 3_Exh G" xfId="2946"/>
    <cellStyle name="40% - Accent3 11 4" xfId="1465"/>
    <cellStyle name="40% - Accent3 11 4 2" xfId="4995"/>
    <cellStyle name="40% - Accent3 11 4_Exh G" xfId="2948"/>
    <cellStyle name="40% - Accent3 11 5" xfId="4116"/>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_Exh G" xfId="2952"/>
    <cellStyle name="40% - Accent3 12 2 2 3" xfId="4122"/>
    <cellStyle name="40% - Accent3 12 2 2_Exh G" xfId="2951"/>
    <cellStyle name="40% - Accent3 12 2 3" xfId="1470"/>
    <cellStyle name="40% - Accent3 12 2 3 2" xfId="5000"/>
    <cellStyle name="40% - Accent3 12 2 3_Exh G" xfId="2953"/>
    <cellStyle name="40% - Accent3 12 2 4" xfId="4121"/>
    <cellStyle name="40% - Accent3 12 2_Exh G" xfId="2950"/>
    <cellStyle name="40% - Accent3 12 3" xfId="444"/>
    <cellStyle name="40% - Accent3 12 3 2" xfId="1472"/>
    <cellStyle name="40% - Accent3 12 3 2 2" xfId="5002"/>
    <cellStyle name="40% - Accent3 12 3 2_Exh G" xfId="2955"/>
    <cellStyle name="40% - Accent3 12 3 3" xfId="4123"/>
    <cellStyle name="40% - Accent3 12 3_Exh G" xfId="2954"/>
    <cellStyle name="40% - Accent3 12 4" xfId="1469"/>
    <cellStyle name="40% - Accent3 12 4 2" xfId="4999"/>
    <cellStyle name="40% - Accent3 12 4_Exh G" xfId="2956"/>
    <cellStyle name="40% - Accent3 12 5" xfId="4120"/>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_Exh G" xfId="2960"/>
    <cellStyle name="40% - Accent3 13 2 2 3" xfId="4126"/>
    <cellStyle name="40% - Accent3 13 2 2_Exh G" xfId="2959"/>
    <cellStyle name="40% - Accent3 13 2 3" xfId="1474"/>
    <cellStyle name="40% - Accent3 13 2 3 2" xfId="5004"/>
    <cellStyle name="40% - Accent3 13 2 3_Exh G" xfId="2961"/>
    <cellStyle name="40% - Accent3 13 2 4" xfId="4125"/>
    <cellStyle name="40% - Accent3 13 2_Exh G" xfId="2958"/>
    <cellStyle name="40% - Accent3 13 3" xfId="448"/>
    <cellStyle name="40% - Accent3 13 3 2" xfId="1476"/>
    <cellStyle name="40% - Accent3 13 3 2 2" xfId="5006"/>
    <cellStyle name="40% - Accent3 13 3 2_Exh G" xfId="2963"/>
    <cellStyle name="40% - Accent3 13 3 3" xfId="4127"/>
    <cellStyle name="40% - Accent3 13 3_Exh G" xfId="2962"/>
    <cellStyle name="40% - Accent3 13 4" xfId="1473"/>
    <cellStyle name="40% - Accent3 13 4 2" xfId="5003"/>
    <cellStyle name="40% - Accent3 13 4_Exh G" xfId="2964"/>
    <cellStyle name="40% - Accent3 13 5" xfId="4124"/>
    <cellStyle name="40% - Accent3 13_Exh G" xfId="2957"/>
    <cellStyle name="40% - Accent3 14" xfId="449"/>
    <cellStyle name="40% - Accent3 14 2" xfId="450"/>
    <cellStyle name="40% - Accent3 14 2 2" xfId="1478"/>
    <cellStyle name="40% - Accent3 14 2 2 2" xfId="5008"/>
    <cellStyle name="40% - Accent3 14 2 2_Exh G" xfId="2967"/>
    <cellStyle name="40% - Accent3 14 2 3" xfId="4129"/>
    <cellStyle name="40% - Accent3 14 2_Exh G" xfId="2966"/>
    <cellStyle name="40% - Accent3 14 3" xfId="1477"/>
    <cellStyle name="40% - Accent3 14 3 2" xfId="5007"/>
    <cellStyle name="40% - Accent3 14 3_Exh G" xfId="2968"/>
    <cellStyle name="40% - Accent3 14 4" xfId="4128"/>
    <cellStyle name="40% - Accent3 14_Exh G" xfId="2965"/>
    <cellStyle name="40% - Accent3 15" xfId="451"/>
    <cellStyle name="40% - Accent3 15 2" xfId="1479"/>
    <cellStyle name="40% - Accent3 15 2 2" xfId="5009"/>
    <cellStyle name="40% - Accent3 15 2_Exh G" xfId="2970"/>
    <cellStyle name="40% - Accent3 15 3" xfId="4130"/>
    <cellStyle name="40% - Accent3 15_Exh G" xfId="2969"/>
    <cellStyle name="40% - Accent3 16" xfId="851"/>
    <cellStyle name="40% - Accent3 16 2" xfId="1790"/>
    <cellStyle name="40% - Accent3 16 2 2" xfId="5311"/>
    <cellStyle name="40% - Accent3 16 2_Exh G" xfId="2972"/>
    <cellStyle name="40% - Accent3 16 3" xfId="4432"/>
    <cellStyle name="40% - Accent3 16_Exh G" xfId="2971"/>
    <cellStyle name="40% - Accent3 2" xfId="452"/>
    <cellStyle name="40% - Accent3 2 2" xfId="453"/>
    <cellStyle name="40% - Accent3 2 2 2" xfId="454"/>
    <cellStyle name="40% - Accent3 2 2 2 2" xfId="1482"/>
    <cellStyle name="40% - Accent3 2 2 2 2 2" xfId="5012"/>
    <cellStyle name="40% - Accent3 2 2 2 2_Exh G" xfId="2976"/>
    <cellStyle name="40% - Accent3 2 2 2 3" xfId="4133"/>
    <cellStyle name="40% - Accent3 2 2 2_Exh G" xfId="2975"/>
    <cellStyle name="40% - Accent3 2 2 3" xfId="960"/>
    <cellStyle name="40% - Accent3 2 2 3 2" xfId="1880"/>
    <cellStyle name="40% - Accent3 2 2 3 2 2" xfId="5398"/>
    <cellStyle name="40% - Accent3 2 2 3 2_Exh G" xfId="2978"/>
    <cellStyle name="40% - Accent3 2 2 3 3" xfId="4519"/>
    <cellStyle name="40% - Accent3 2 2 3_Exh G" xfId="2977"/>
    <cellStyle name="40% - Accent3 2 2 4" xfId="1481"/>
    <cellStyle name="40% - Accent3 2 2 4 2" xfId="5011"/>
    <cellStyle name="40% - Accent3 2 2 4_Exh G" xfId="2979"/>
    <cellStyle name="40% - Accent3 2 2 5" xfId="4132"/>
    <cellStyle name="40% - Accent3 2 2_Exh G" xfId="2974"/>
    <cellStyle name="40% - Accent3 2 3" xfId="455"/>
    <cellStyle name="40% - Accent3 2 3 2" xfId="1483"/>
    <cellStyle name="40% - Accent3 2 3 2 2" xfId="5013"/>
    <cellStyle name="40% - Accent3 2 3 2_Exh G" xfId="2981"/>
    <cellStyle name="40% - Accent3 2 3 3" xfId="4134"/>
    <cellStyle name="40% - Accent3 2 3_Exh G" xfId="2980"/>
    <cellStyle name="40% - Accent3 2 4" xfId="959"/>
    <cellStyle name="40% - Accent3 2 4 2" xfId="1879"/>
    <cellStyle name="40% - Accent3 2 4 2 2" xfId="5397"/>
    <cellStyle name="40% - Accent3 2 4 2_Exh G" xfId="2983"/>
    <cellStyle name="40% - Accent3 2 4 3" xfId="4518"/>
    <cellStyle name="40% - Accent3 2 4_Exh G" xfId="2982"/>
    <cellStyle name="40% - Accent3 2 5" xfId="1480"/>
    <cellStyle name="40% - Accent3 2 5 2" xfId="5010"/>
    <cellStyle name="40% - Accent3 2 5_Exh G" xfId="2984"/>
    <cellStyle name="40% - Accent3 2 6" xfId="4131"/>
    <cellStyle name="40% - Accent3 2_Exh G" xfId="2973"/>
    <cellStyle name="40% - Accent3 3" xfId="456"/>
    <cellStyle name="40% - Accent3 3 2" xfId="457"/>
    <cellStyle name="40% - Accent3 3 2 2" xfId="458"/>
    <cellStyle name="40% - Accent3 3 2 2 2" xfId="1486"/>
    <cellStyle name="40% - Accent3 3 2 2 2 2" xfId="5016"/>
    <cellStyle name="40% - Accent3 3 2 2 2_Exh G" xfId="2988"/>
    <cellStyle name="40% - Accent3 3 2 2 3" xfId="4137"/>
    <cellStyle name="40% - Accent3 3 2 2_Exh G" xfId="2987"/>
    <cellStyle name="40% - Accent3 3 2 3" xfId="962"/>
    <cellStyle name="40% - Accent3 3 2 3 2" xfId="1882"/>
    <cellStyle name="40% - Accent3 3 2 3 2 2" xfId="5400"/>
    <cellStyle name="40% - Accent3 3 2 3 2_Exh G" xfId="2990"/>
    <cellStyle name="40% - Accent3 3 2 3 3" xfId="4521"/>
    <cellStyle name="40% - Accent3 3 2 3_Exh G" xfId="2989"/>
    <cellStyle name="40% - Accent3 3 2 4" xfId="1485"/>
    <cellStyle name="40% - Accent3 3 2 4 2" xfId="5015"/>
    <cellStyle name="40% - Accent3 3 2 4_Exh G" xfId="2991"/>
    <cellStyle name="40% - Accent3 3 2 5" xfId="4136"/>
    <cellStyle name="40% - Accent3 3 2_Exh G" xfId="2986"/>
    <cellStyle name="40% - Accent3 3 3" xfId="459"/>
    <cellStyle name="40% - Accent3 3 3 2" xfId="1487"/>
    <cellStyle name="40% - Accent3 3 3 2 2" xfId="5017"/>
    <cellStyle name="40% - Accent3 3 3 2_Exh G" xfId="2993"/>
    <cellStyle name="40% - Accent3 3 3 3" xfId="4138"/>
    <cellStyle name="40% - Accent3 3 3_Exh G" xfId="2992"/>
    <cellStyle name="40% - Accent3 3 4" xfId="961"/>
    <cellStyle name="40% - Accent3 3 4 2" xfId="1881"/>
    <cellStyle name="40% - Accent3 3 4 2 2" xfId="5399"/>
    <cellStyle name="40% - Accent3 3 4 2_Exh G" xfId="2995"/>
    <cellStyle name="40% - Accent3 3 4 3" xfId="4520"/>
    <cellStyle name="40% - Accent3 3 4_Exh G" xfId="2994"/>
    <cellStyle name="40% - Accent3 3 5" xfId="1484"/>
    <cellStyle name="40% - Accent3 3 5 2" xfId="5014"/>
    <cellStyle name="40% - Accent3 3 5_Exh G" xfId="2996"/>
    <cellStyle name="40% - Accent3 3 6" xfId="4135"/>
    <cellStyle name="40% - Accent3 3_Exh G" xfId="2985"/>
    <cellStyle name="40% - Accent3 4" xfId="460"/>
    <cellStyle name="40% - Accent3 4 2" xfId="461"/>
    <cellStyle name="40% - Accent3 4 2 2" xfId="462"/>
    <cellStyle name="40% - Accent3 4 2 2 2" xfId="1490"/>
    <cellStyle name="40% - Accent3 4 2 2 2 2" xfId="5020"/>
    <cellStyle name="40% - Accent3 4 2 2 2_Exh G" xfId="3000"/>
    <cellStyle name="40% - Accent3 4 2 2 3" xfId="4141"/>
    <cellStyle name="40% - Accent3 4 2 2_Exh G" xfId="2999"/>
    <cellStyle name="40% - Accent3 4 2 3" xfId="964"/>
    <cellStyle name="40% - Accent3 4 2 3 2" xfId="1884"/>
    <cellStyle name="40% - Accent3 4 2 3 2 2" xfId="5402"/>
    <cellStyle name="40% - Accent3 4 2 3 2_Exh G" xfId="3002"/>
    <cellStyle name="40% - Accent3 4 2 3 3" xfId="4523"/>
    <cellStyle name="40% - Accent3 4 2 3_Exh G" xfId="3001"/>
    <cellStyle name="40% - Accent3 4 2 4" xfId="1489"/>
    <cellStyle name="40% - Accent3 4 2 4 2" xfId="5019"/>
    <cellStyle name="40% - Accent3 4 2 4_Exh G" xfId="3003"/>
    <cellStyle name="40% - Accent3 4 2 5" xfId="4140"/>
    <cellStyle name="40% - Accent3 4 2_Exh G" xfId="2998"/>
    <cellStyle name="40% - Accent3 4 3" xfId="463"/>
    <cellStyle name="40% - Accent3 4 3 2" xfId="1491"/>
    <cellStyle name="40% - Accent3 4 3 2 2" xfId="5021"/>
    <cellStyle name="40% - Accent3 4 3 2_Exh G" xfId="3005"/>
    <cellStyle name="40% - Accent3 4 3 3" xfId="4142"/>
    <cellStyle name="40% - Accent3 4 3_Exh G" xfId="3004"/>
    <cellStyle name="40% - Accent3 4 4" xfId="963"/>
    <cellStyle name="40% - Accent3 4 4 2" xfId="1883"/>
    <cellStyle name="40% - Accent3 4 4 2 2" xfId="5401"/>
    <cellStyle name="40% - Accent3 4 4 2_Exh G" xfId="3007"/>
    <cellStyle name="40% - Accent3 4 4 3" xfId="4522"/>
    <cellStyle name="40% - Accent3 4 4_Exh G" xfId="3006"/>
    <cellStyle name="40% - Accent3 4 5" xfId="1488"/>
    <cellStyle name="40% - Accent3 4 5 2" xfId="5018"/>
    <cellStyle name="40% - Accent3 4 5_Exh G" xfId="3008"/>
    <cellStyle name="40% - Accent3 4 6" xfId="4139"/>
    <cellStyle name="40% - Accent3 4_Exh G" xfId="2997"/>
    <cellStyle name="40% - Accent3 5" xfId="464"/>
    <cellStyle name="40% - Accent3 5 2" xfId="465"/>
    <cellStyle name="40% - Accent3 5 2 2" xfId="466"/>
    <cellStyle name="40% - Accent3 5 2 2 2" xfId="1494"/>
    <cellStyle name="40% - Accent3 5 2 2 2 2" xfId="5024"/>
    <cellStyle name="40% - Accent3 5 2 2 2_Exh G" xfId="3012"/>
    <cellStyle name="40% - Accent3 5 2 2 3" xfId="4145"/>
    <cellStyle name="40% - Accent3 5 2 2_Exh G" xfId="3011"/>
    <cellStyle name="40% - Accent3 5 2 3" xfId="1493"/>
    <cellStyle name="40% - Accent3 5 2 3 2" xfId="5023"/>
    <cellStyle name="40% - Accent3 5 2 3_Exh G" xfId="3013"/>
    <cellStyle name="40% - Accent3 5 2 4" xfId="4144"/>
    <cellStyle name="40% - Accent3 5 2_Exh G" xfId="3010"/>
    <cellStyle name="40% - Accent3 5 3" xfId="467"/>
    <cellStyle name="40% - Accent3 5 3 2" xfId="1495"/>
    <cellStyle name="40% - Accent3 5 3 2 2" xfId="5025"/>
    <cellStyle name="40% - Accent3 5 3 2_Exh G" xfId="3015"/>
    <cellStyle name="40% - Accent3 5 3 3" xfId="4146"/>
    <cellStyle name="40% - Accent3 5 3_Exh G" xfId="3014"/>
    <cellStyle name="40% - Accent3 5 4" xfId="965"/>
    <cellStyle name="40% - Accent3 5 5" xfId="1492"/>
    <cellStyle name="40% - Accent3 5 5 2" xfId="5022"/>
    <cellStyle name="40% - Accent3 5 5_Exh G" xfId="3016"/>
    <cellStyle name="40% - Accent3 5 6" xfId="4143"/>
    <cellStyle name="40% - Accent3 5_Exh G" xfId="3009"/>
    <cellStyle name="40% - Accent3 6" xfId="468"/>
    <cellStyle name="40% - Accent3 6 2" xfId="469"/>
    <cellStyle name="40% - Accent3 6 2 2" xfId="470"/>
    <cellStyle name="40% - Accent3 6 2 2 2" xfId="1498"/>
    <cellStyle name="40% - Accent3 6 2 2 2 2" xfId="5028"/>
    <cellStyle name="40% - Accent3 6 2 2 2_Exh G" xfId="3020"/>
    <cellStyle name="40% - Accent3 6 2 2 3" xfId="4149"/>
    <cellStyle name="40% - Accent3 6 2 2_Exh G" xfId="3019"/>
    <cellStyle name="40% - Accent3 6 2 3" xfId="1497"/>
    <cellStyle name="40% - Accent3 6 2 3 2" xfId="5027"/>
    <cellStyle name="40% - Accent3 6 2 3_Exh G" xfId="3021"/>
    <cellStyle name="40% - Accent3 6 2 4" xfId="4148"/>
    <cellStyle name="40% - Accent3 6 2_Exh G" xfId="3018"/>
    <cellStyle name="40% - Accent3 6 3" xfId="471"/>
    <cellStyle name="40% - Accent3 6 3 2" xfId="1499"/>
    <cellStyle name="40% - Accent3 6 3 2 2" xfId="5029"/>
    <cellStyle name="40% - Accent3 6 3 2_Exh G" xfId="3023"/>
    <cellStyle name="40% - Accent3 6 3 3" xfId="4150"/>
    <cellStyle name="40% - Accent3 6 3_Exh G" xfId="3022"/>
    <cellStyle name="40% - Accent3 6 4" xfId="966"/>
    <cellStyle name="40% - Accent3 6 4 2" xfId="1885"/>
    <cellStyle name="40% - Accent3 6 4 2 2" xfId="5403"/>
    <cellStyle name="40% - Accent3 6 4 2_Exh G" xfId="3025"/>
    <cellStyle name="40% - Accent3 6 4 3" xfId="4524"/>
    <cellStyle name="40% - Accent3 6 4_Exh G" xfId="3024"/>
    <cellStyle name="40% - Accent3 6 5" xfId="1496"/>
    <cellStyle name="40% - Accent3 6 5 2" xfId="5026"/>
    <cellStyle name="40% - Accent3 6 5_Exh G" xfId="3026"/>
    <cellStyle name="40% - Accent3 6 6" xfId="4147"/>
    <cellStyle name="40% - Accent3 6_Exh G" xfId="3017"/>
    <cellStyle name="40% - Accent3 7" xfId="472"/>
    <cellStyle name="40% - Accent3 7 2" xfId="473"/>
    <cellStyle name="40% - Accent3 7 2 2" xfId="474"/>
    <cellStyle name="40% - Accent3 7 2 2 2" xfId="1502"/>
    <cellStyle name="40% - Accent3 7 2 2 2 2" xfId="5032"/>
    <cellStyle name="40% - Accent3 7 2 2 2_Exh G" xfId="3030"/>
    <cellStyle name="40% - Accent3 7 2 2 3" xfId="4153"/>
    <cellStyle name="40% - Accent3 7 2 2_Exh G" xfId="3029"/>
    <cellStyle name="40% - Accent3 7 2 3" xfId="1501"/>
    <cellStyle name="40% - Accent3 7 2 3 2" xfId="5031"/>
    <cellStyle name="40% - Accent3 7 2 3_Exh G" xfId="3031"/>
    <cellStyle name="40% - Accent3 7 2 4" xfId="4152"/>
    <cellStyle name="40% - Accent3 7 2_Exh G" xfId="3028"/>
    <cellStyle name="40% - Accent3 7 3" xfId="475"/>
    <cellStyle name="40% - Accent3 7 3 2" xfId="1503"/>
    <cellStyle name="40% - Accent3 7 3 2 2" xfId="5033"/>
    <cellStyle name="40% - Accent3 7 3 2_Exh G" xfId="3033"/>
    <cellStyle name="40% - Accent3 7 3 3" xfId="4154"/>
    <cellStyle name="40% - Accent3 7 3_Exh G" xfId="3032"/>
    <cellStyle name="40% - Accent3 7 4" xfId="967"/>
    <cellStyle name="40% - Accent3 7 4 2" xfId="1886"/>
    <cellStyle name="40% - Accent3 7 4 2 2" xfId="5404"/>
    <cellStyle name="40% - Accent3 7 4 2_Exh G" xfId="3035"/>
    <cellStyle name="40% - Accent3 7 4 3" xfId="4525"/>
    <cellStyle name="40% - Accent3 7 4_Exh G" xfId="3034"/>
    <cellStyle name="40% - Accent3 7 5" xfId="1500"/>
    <cellStyle name="40% - Accent3 7 5 2" xfId="5030"/>
    <cellStyle name="40% - Accent3 7 5_Exh G" xfId="3036"/>
    <cellStyle name="40% - Accent3 7 6" xfId="4151"/>
    <cellStyle name="40% - Accent3 7_Exh G" xfId="3027"/>
    <cellStyle name="40% - Accent3 8" xfId="476"/>
    <cellStyle name="40% - Accent3 8 2" xfId="477"/>
    <cellStyle name="40% - Accent3 8 2 2" xfId="478"/>
    <cellStyle name="40% - Accent3 8 2 2 2" xfId="1506"/>
    <cellStyle name="40% - Accent3 8 2 2 2 2" xfId="5036"/>
    <cellStyle name="40% - Accent3 8 2 2 2_Exh G" xfId="3040"/>
    <cellStyle name="40% - Accent3 8 2 2 3" xfId="4157"/>
    <cellStyle name="40% - Accent3 8 2 2_Exh G" xfId="3039"/>
    <cellStyle name="40% - Accent3 8 2 3" xfId="1505"/>
    <cellStyle name="40% - Accent3 8 2 3 2" xfId="5035"/>
    <cellStyle name="40% - Accent3 8 2 3_Exh G" xfId="3041"/>
    <cellStyle name="40% - Accent3 8 2 4" xfId="4156"/>
    <cellStyle name="40% - Accent3 8 2_Exh G" xfId="3038"/>
    <cellStyle name="40% - Accent3 8 3" xfId="479"/>
    <cellStyle name="40% - Accent3 8 3 2" xfId="1507"/>
    <cellStyle name="40% - Accent3 8 3 2 2" xfId="5037"/>
    <cellStyle name="40% - Accent3 8 3 2_Exh G" xfId="3043"/>
    <cellStyle name="40% - Accent3 8 3 3" xfId="4158"/>
    <cellStyle name="40% - Accent3 8 3_Exh G" xfId="3042"/>
    <cellStyle name="40% - Accent3 8 4" xfId="968"/>
    <cellStyle name="40% - Accent3 8 4 2" xfId="1887"/>
    <cellStyle name="40% - Accent3 8 4 2 2" xfId="5405"/>
    <cellStyle name="40% - Accent3 8 4 2_Exh G" xfId="3045"/>
    <cellStyle name="40% - Accent3 8 4 3" xfId="4526"/>
    <cellStyle name="40% - Accent3 8 4_Exh G" xfId="3044"/>
    <cellStyle name="40% - Accent3 8 5" xfId="1504"/>
    <cellStyle name="40% - Accent3 8 5 2" xfId="5034"/>
    <cellStyle name="40% - Accent3 8 5_Exh G" xfId="3046"/>
    <cellStyle name="40% - Accent3 8 6" xfId="4155"/>
    <cellStyle name="40% - Accent3 8_Exh G" xfId="3037"/>
    <cellStyle name="40% - Accent3 9" xfId="480"/>
    <cellStyle name="40% - Accent3 9 2" xfId="481"/>
    <cellStyle name="40% - Accent3 9 2 2" xfId="482"/>
    <cellStyle name="40% - Accent3 9 2 2 2" xfId="1510"/>
    <cellStyle name="40% - Accent3 9 2 2 2 2" xfId="5040"/>
    <cellStyle name="40% - Accent3 9 2 2 2_Exh G" xfId="3050"/>
    <cellStyle name="40% - Accent3 9 2 2 3" xfId="4161"/>
    <cellStyle name="40% - Accent3 9 2 2_Exh G" xfId="3049"/>
    <cellStyle name="40% - Accent3 9 2 3" xfId="1509"/>
    <cellStyle name="40% - Accent3 9 2 3 2" xfId="5039"/>
    <cellStyle name="40% - Accent3 9 2 3_Exh G" xfId="3051"/>
    <cellStyle name="40% - Accent3 9 2 4" xfId="4160"/>
    <cellStyle name="40% - Accent3 9 2_Exh G" xfId="3048"/>
    <cellStyle name="40% - Accent3 9 3" xfId="483"/>
    <cellStyle name="40% - Accent3 9 3 2" xfId="1511"/>
    <cellStyle name="40% - Accent3 9 3 2 2" xfId="5041"/>
    <cellStyle name="40% - Accent3 9 3 2_Exh G" xfId="3053"/>
    <cellStyle name="40% - Accent3 9 3 3" xfId="4162"/>
    <cellStyle name="40% - Accent3 9 3_Exh G" xfId="3052"/>
    <cellStyle name="40% - Accent3 9 4" xfId="969"/>
    <cellStyle name="40% - Accent3 9 4 2" xfId="1888"/>
    <cellStyle name="40% - Accent3 9 4 2 2" xfId="5406"/>
    <cellStyle name="40% - Accent3 9 4 2_Exh G" xfId="3055"/>
    <cellStyle name="40% - Accent3 9 4 3" xfId="4527"/>
    <cellStyle name="40% - Accent3 9 4_Exh G" xfId="3054"/>
    <cellStyle name="40% - Accent3 9 5" xfId="1508"/>
    <cellStyle name="40% - Accent3 9 5 2" xfId="5038"/>
    <cellStyle name="40% - Accent3 9 5_Exh G" xfId="3056"/>
    <cellStyle name="40% - Accent3 9 6" xfId="4159"/>
    <cellStyle name="40% - Accent3 9_Exh G" xfId="3047"/>
    <cellStyle name="40% - Accent4 10" xfId="484"/>
    <cellStyle name="40% - Accent4 10 2" xfId="485"/>
    <cellStyle name="40% - Accent4 10 2 2" xfId="486"/>
    <cellStyle name="40% - Accent4 10 2 2 2" xfId="1514"/>
    <cellStyle name="40% - Accent4 10 2 2 2 2" xfId="5044"/>
    <cellStyle name="40% - Accent4 10 2 2 2_Exh G" xfId="3060"/>
    <cellStyle name="40% - Accent4 10 2 2 3" xfId="4165"/>
    <cellStyle name="40% - Accent4 10 2 2_Exh G" xfId="3059"/>
    <cellStyle name="40% - Accent4 10 2 3" xfId="1513"/>
    <cellStyle name="40% - Accent4 10 2 3 2" xfId="5043"/>
    <cellStyle name="40% - Accent4 10 2 3_Exh G" xfId="3061"/>
    <cellStyle name="40% - Accent4 10 2 4" xfId="4164"/>
    <cellStyle name="40% - Accent4 10 2_Exh G" xfId="3058"/>
    <cellStyle name="40% - Accent4 10 3" xfId="487"/>
    <cellStyle name="40% - Accent4 10 3 2" xfId="1515"/>
    <cellStyle name="40% - Accent4 10 3 2 2" xfId="5045"/>
    <cellStyle name="40% - Accent4 10 3 2_Exh G" xfId="3063"/>
    <cellStyle name="40% - Accent4 10 3 3" xfId="4166"/>
    <cellStyle name="40% - Accent4 10 3_Exh G" xfId="3062"/>
    <cellStyle name="40% - Accent4 10 4" xfId="970"/>
    <cellStyle name="40% - Accent4 10 5" xfId="1512"/>
    <cellStyle name="40% - Accent4 10 5 2" xfId="5042"/>
    <cellStyle name="40% - Accent4 10 5_Exh G" xfId="3064"/>
    <cellStyle name="40% - Accent4 10 6" xfId="4163"/>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_Exh G" xfId="3068"/>
    <cellStyle name="40% - Accent4 11 2 2 3" xfId="4169"/>
    <cellStyle name="40% - Accent4 11 2 2_Exh G" xfId="3067"/>
    <cellStyle name="40% - Accent4 11 2 3" xfId="1517"/>
    <cellStyle name="40% - Accent4 11 2 3 2" xfId="5047"/>
    <cellStyle name="40% - Accent4 11 2 3_Exh G" xfId="3069"/>
    <cellStyle name="40% - Accent4 11 2 4" xfId="4168"/>
    <cellStyle name="40% - Accent4 11 2_Exh G" xfId="3066"/>
    <cellStyle name="40% - Accent4 11 3" xfId="491"/>
    <cellStyle name="40% - Accent4 11 3 2" xfId="1519"/>
    <cellStyle name="40% - Accent4 11 3 2 2" xfId="5049"/>
    <cellStyle name="40% - Accent4 11 3 2_Exh G" xfId="3071"/>
    <cellStyle name="40% - Accent4 11 3 3" xfId="4170"/>
    <cellStyle name="40% - Accent4 11 3_Exh G" xfId="3070"/>
    <cellStyle name="40% - Accent4 11 4" xfId="1516"/>
    <cellStyle name="40% - Accent4 11 4 2" xfId="5046"/>
    <cellStyle name="40% - Accent4 11 4_Exh G" xfId="3072"/>
    <cellStyle name="40% - Accent4 11 5" xfId="4167"/>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_Exh G" xfId="3076"/>
    <cellStyle name="40% - Accent4 12 2 2 3" xfId="4173"/>
    <cellStyle name="40% - Accent4 12 2 2_Exh G" xfId="3075"/>
    <cellStyle name="40% - Accent4 12 2 3" xfId="1521"/>
    <cellStyle name="40% - Accent4 12 2 3 2" xfId="5051"/>
    <cellStyle name="40% - Accent4 12 2 3_Exh G" xfId="3077"/>
    <cellStyle name="40% - Accent4 12 2 4" xfId="4172"/>
    <cellStyle name="40% - Accent4 12 2_Exh G" xfId="3074"/>
    <cellStyle name="40% - Accent4 12 3" xfId="495"/>
    <cellStyle name="40% - Accent4 12 3 2" xfId="1523"/>
    <cellStyle name="40% - Accent4 12 3 2 2" xfId="5053"/>
    <cellStyle name="40% - Accent4 12 3 2_Exh G" xfId="3079"/>
    <cellStyle name="40% - Accent4 12 3 3" xfId="4174"/>
    <cellStyle name="40% - Accent4 12 3_Exh G" xfId="3078"/>
    <cellStyle name="40% - Accent4 12 4" xfId="1520"/>
    <cellStyle name="40% - Accent4 12 4 2" xfId="5050"/>
    <cellStyle name="40% - Accent4 12 4_Exh G" xfId="3080"/>
    <cellStyle name="40% - Accent4 12 5" xfId="4171"/>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_Exh G" xfId="3084"/>
    <cellStyle name="40% - Accent4 13 2 2 3" xfId="4177"/>
    <cellStyle name="40% - Accent4 13 2 2_Exh G" xfId="3083"/>
    <cellStyle name="40% - Accent4 13 2 3" xfId="1525"/>
    <cellStyle name="40% - Accent4 13 2 3 2" xfId="5055"/>
    <cellStyle name="40% - Accent4 13 2 3_Exh G" xfId="3085"/>
    <cellStyle name="40% - Accent4 13 2 4" xfId="4176"/>
    <cellStyle name="40% - Accent4 13 2_Exh G" xfId="3082"/>
    <cellStyle name="40% - Accent4 13 3" xfId="499"/>
    <cellStyle name="40% - Accent4 13 3 2" xfId="1527"/>
    <cellStyle name="40% - Accent4 13 3 2 2" xfId="5057"/>
    <cellStyle name="40% - Accent4 13 3 2_Exh G" xfId="3087"/>
    <cellStyle name="40% - Accent4 13 3 3" xfId="4178"/>
    <cellStyle name="40% - Accent4 13 3_Exh G" xfId="3086"/>
    <cellStyle name="40% - Accent4 13 4" xfId="1524"/>
    <cellStyle name="40% - Accent4 13 4 2" xfId="5054"/>
    <cellStyle name="40% - Accent4 13 4_Exh G" xfId="3088"/>
    <cellStyle name="40% - Accent4 13 5" xfId="4175"/>
    <cellStyle name="40% - Accent4 13_Exh G" xfId="3081"/>
    <cellStyle name="40% - Accent4 14" xfId="500"/>
    <cellStyle name="40% - Accent4 14 2" xfId="501"/>
    <cellStyle name="40% - Accent4 14 2 2" xfId="1529"/>
    <cellStyle name="40% - Accent4 14 2 2 2" xfId="5059"/>
    <cellStyle name="40% - Accent4 14 2 2_Exh G" xfId="3091"/>
    <cellStyle name="40% - Accent4 14 2 3" xfId="4180"/>
    <cellStyle name="40% - Accent4 14 2_Exh G" xfId="3090"/>
    <cellStyle name="40% - Accent4 14 3" xfId="1528"/>
    <cellStyle name="40% - Accent4 14 3 2" xfId="5058"/>
    <cellStyle name="40% - Accent4 14 3_Exh G" xfId="3092"/>
    <cellStyle name="40% - Accent4 14 4" xfId="4179"/>
    <cellStyle name="40% - Accent4 14_Exh G" xfId="3089"/>
    <cellStyle name="40% - Accent4 15" xfId="502"/>
    <cellStyle name="40% - Accent4 15 2" xfId="1530"/>
    <cellStyle name="40% - Accent4 15 2 2" xfId="5060"/>
    <cellStyle name="40% - Accent4 15 2_Exh G" xfId="3094"/>
    <cellStyle name="40% - Accent4 15 3" xfId="4181"/>
    <cellStyle name="40% - Accent4 15_Exh G" xfId="3093"/>
    <cellStyle name="40% - Accent4 16" xfId="852"/>
    <cellStyle name="40% - Accent4 16 2" xfId="1791"/>
    <cellStyle name="40% - Accent4 16 2 2" xfId="5312"/>
    <cellStyle name="40% - Accent4 16 2_Exh G" xfId="3096"/>
    <cellStyle name="40% - Accent4 16 3" xfId="4433"/>
    <cellStyle name="40% - Accent4 16_Exh G" xfId="3095"/>
    <cellStyle name="40% - Accent4 2" xfId="503"/>
    <cellStyle name="40% - Accent4 2 2" xfId="504"/>
    <cellStyle name="40% - Accent4 2 2 2" xfId="505"/>
    <cellStyle name="40% - Accent4 2 2 2 2" xfId="1533"/>
    <cellStyle name="40% - Accent4 2 2 2 2 2" xfId="5063"/>
    <cellStyle name="40% - Accent4 2 2 2 2_Exh G" xfId="3100"/>
    <cellStyle name="40% - Accent4 2 2 2 3" xfId="4184"/>
    <cellStyle name="40% - Accent4 2 2 2_Exh G" xfId="3099"/>
    <cellStyle name="40% - Accent4 2 2 3" xfId="972"/>
    <cellStyle name="40% - Accent4 2 2 3 2" xfId="1890"/>
    <cellStyle name="40% - Accent4 2 2 3 2 2" xfId="5408"/>
    <cellStyle name="40% - Accent4 2 2 3 2_Exh G" xfId="3102"/>
    <cellStyle name="40% - Accent4 2 2 3 3" xfId="4529"/>
    <cellStyle name="40% - Accent4 2 2 3_Exh G" xfId="3101"/>
    <cellStyle name="40% - Accent4 2 2 4" xfId="1532"/>
    <cellStyle name="40% - Accent4 2 2 4 2" xfId="5062"/>
    <cellStyle name="40% - Accent4 2 2 4_Exh G" xfId="3103"/>
    <cellStyle name="40% - Accent4 2 2 5" xfId="4183"/>
    <cellStyle name="40% - Accent4 2 2_Exh G" xfId="3098"/>
    <cellStyle name="40% - Accent4 2 3" xfId="506"/>
    <cellStyle name="40% - Accent4 2 3 2" xfId="1534"/>
    <cellStyle name="40% - Accent4 2 3 2 2" xfId="5064"/>
    <cellStyle name="40% - Accent4 2 3 2_Exh G" xfId="3105"/>
    <cellStyle name="40% - Accent4 2 3 3" xfId="4185"/>
    <cellStyle name="40% - Accent4 2 3_Exh G" xfId="3104"/>
    <cellStyle name="40% - Accent4 2 4" xfId="971"/>
    <cellStyle name="40% - Accent4 2 4 2" xfId="1889"/>
    <cellStyle name="40% - Accent4 2 4 2 2" xfId="5407"/>
    <cellStyle name="40% - Accent4 2 4 2_Exh G" xfId="3107"/>
    <cellStyle name="40% - Accent4 2 4 3" xfId="4528"/>
    <cellStyle name="40% - Accent4 2 4_Exh G" xfId="3106"/>
    <cellStyle name="40% - Accent4 2 5" xfId="1531"/>
    <cellStyle name="40% - Accent4 2 5 2" xfId="5061"/>
    <cellStyle name="40% - Accent4 2 5_Exh G" xfId="3108"/>
    <cellStyle name="40% - Accent4 2 6" xfId="4182"/>
    <cellStyle name="40% - Accent4 2_Exh G" xfId="3097"/>
    <cellStyle name="40% - Accent4 3" xfId="507"/>
    <cellStyle name="40% - Accent4 3 2" xfId="508"/>
    <cellStyle name="40% - Accent4 3 2 2" xfId="509"/>
    <cellStyle name="40% - Accent4 3 2 2 2" xfId="1537"/>
    <cellStyle name="40% - Accent4 3 2 2 2 2" xfId="5067"/>
    <cellStyle name="40% - Accent4 3 2 2 2_Exh G" xfId="3112"/>
    <cellStyle name="40% - Accent4 3 2 2 3" xfId="4188"/>
    <cellStyle name="40% - Accent4 3 2 2_Exh G" xfId="3111"/>
    <cellStyle name="40% - Accent4 3 2 3" xfId="974"/>
    <cellStyle name="40% - Accent4 3 2 3 2" xfId="1892"/>
    <cellStyle name="40% - Accent4 3 2 3 2 2" xfId="5410"/>
    <cellStyle name="40% - Accent4 3 2 3 2_Exh G" xfId="3114"/>
    <cellStyle name="40% - Accent4 3 2 3 3" xfId="4531"/>
    <cellStyle name="40% - Accent4 3 2 3_Exh G" xfId="3113"/>
    <cellStyle name="40% - Accent4 3 2 4" xfId="1536"/>
    <cellStyle name="40% - Accent4 3 2 4 2" xfId="5066"/>
    <cellStyle name="40% - Accent4 3 2 4_Exh G" xfId="3115"/>
    <cellStyle name="40% - Accent4 3 2 5" xfId="4187"/>
    <cellStyle name="40% - Accent4 3 2_Exh G" xfId="3110"/>
    <cellStyle name="40% - Accent4 3 3" xfId="510"/>
    <cellStyle name="40% - Accent4 3 3 2" xfId="1538"/>
    <cellStyle name="40% - Accent4 3 3 2 2" xfId="5068"/>
    <cellStyle name="40% - Accent4 3 3 2_Exh G" xfId="3117"/>
    <cellStyle name="40% - Accent4 3 3 3" xfId="4189"/>
    <cellStyle name="40% - Accent4 3 3_Exh G" xfId="3116"/>
    <cellStyle name="40% - Accent4 3 4" xfId="973"/>
    <cellStyle name="40% - Accent4 3 4 2" xfId="1891"/>
    <cellStyle name="40% - Accent4 3 4 2 2" xfId="5409"/>
    <cellStyle name="40% - Accent4 3 4 2_Exh G" xfId="3119"/>
    <cellStyle name="40% - Accent4 3 4 3" xfId="4530"/>
    <cellStyle name="40% - Accent4 3 4_Exh G" xfId="3118"/>
    <cellStyle name="40% - Accent4 3 5" xfId="1535"/>
    <cellStyle name="40% - Accent4 3 5 2" xfId="5065"/>
    <cellStyle name="40% - Accent4 3 5_Exh G" xfId="3120"/>
    <cellStyle name="40% - Accent4 3 6" xfId="4186"/>
    <cellStyle name="40% - Accent4 3_Exh G" xfId="3109"/>
    <cellStyle name="40% - Accent4 4" xfId="511"/>
    <cellStyle name="40% - Accent4 4 2" xfId="512"/>
    <cellStyle name="40% - Accent4 4 2 2" xfId="513"/>
    <cellStyle name="40% - Accent4 4 2 2 2" xfId="1541"/>
    <cellStyle name="40% - Accent4 4 2 2 2 2" xfId="5071"/>
    <cellStyle name="40% - Accent4 4 2 2 2_Exh G" xfId="3124"/>
    <cellStyle name="40% - Accent4 4 2 2 3" xfId="4192"/>
    <cellStyle name="40% - Accent4 4 2 2_Exh G" xfId="3123"/>
    <cellStyle name="40% - Accent4 4 2 3" xfId="976"/>
    <cellStyle name="40% - Accent4 4 2 3 2" xfId="1894"/>
    <cellStyle name="40% - Accent4 4 2 3 2 2" xfId="5412"/>
    <cellStyle name="40% - Accent4 4 2 3 2_Exh G" xfId="3126"/>
    <cellStyle name="40% - Accent4 4 2 3 3" xfId="4533"/>
    <cellStyle name="40% - Accent4 4 2 3_Exh G" xfId="3125"/>
    <cellStyle name="40% - Accent4 4 2 4" xfId="1540"/>
    <cellStyle name="40% - Accent4 4 2 4 2" xfId="5070"/>
    <cellStyle name="40% - Accent4 4 2 4_Exh G" xfId="3127"/>
    <cellStyle name="40% - Accent4 4 2 5" xfId="4191"/>
    <cellStyle name="40% - Accent4 4 2_Exh G" xfId="3122"/>
    <cellStyle name="40% - Accent4 4 3" xfId="514"/>
    <cellStyle name="40% - Accent4 4 3 2" xfId="1542"/>
    <cellStyle name="40% - Accent4 4 3 2 2" xfId="5072"/>
    <cellStyle name="40% - Accent4 4 3 2_Exh G" xfId="3129"/>
    <cellStyle name="40% - Accent4 4 3 3" xfId="4193"/>
    <cellStyle name="40% - Accent4 4 3_Exh G" xfId="3128"/>
    <cellStyle name="40% - Accent4 4 4" xfId="975"/>
    <cellStyle name="40% - Accent4 4 4 2" xfId="1893"/>
    <cellStyle name="40% - Accent4 4 4 2 2" xfId="5411"/>
    <cellStyle name="40% - Accent4 4 4 2_Exh G" xfId="3131"/>
    <cellStyle name="40% - Accent4 4 4 3" xfId="4532"/>
    <cellStyle name="40% - Accent4 4 4_Exh G" xfId="3130"/>
    <cellStyle name="40% - Accent4 4 5" xfId="1539"/>
    <cellStyle name="40% - Accent4 4 5 2" xfId="5069"/>
    <cellStyle name="40% - Accent4 4 5_Exh G" xfId="3132"/>
    <cellStyle name="40% - Accent4 4 6" xfId="4190"/>
    <cellStyle name="40% - Accent4 4_Exh G" xfId="3121"/>
    <cellStyle name="40% - Accent4 5" xfId="515"/>
    <cellStyle name="40% - Accent4 5 2" xfId="516"/>
    <cellStyle name="40% - Accent4 5 2 2" xfId="517"/>
    <cellStyle name="40% - Accent4 5 2 2 2" xfId="1545"/>
    <cellStyle name="40% - Accent4 5 2 2 2 2" xfId="5075"/>
    <cellStyle name="40% - Accent4 5 2 2 2_Exh G" xfId="3136"/>
    <cellStyle name="40% - Accent4 5 2 2 3" xfId="4196"/>
    <cellStyle name="40% - Accent4 5 2 2_Exh G" xfId="3135"/>
    <cellStyle name="40% - Accent4 5 2 3" xfId="1544"/>
    <cellStyle name="40% - Accent4 5 2 3 2" xfId="5074"/>
    <cellStyle name="40% - Accent4 5 2 3_Exh G" xfId="3137"/>
    <cellStyle name="40% - Accent4 5 2 4" xfId="4195"/>
    <cellStyle name="40% - Accent4 5 2_Exh G" xfId="3134"/>
    <cellStyle name="40% - Accent4 5 3" xfId="518"/>
    <cellStyle name="40% - Accent4 5 3 2" xfId="1546"/>
    <cellStyle name="40% - Accent4 5 3 2 2" xfId="5076"/>
    <cellStyle name="40% - Accent4 5 3 2_Exh G" xfId="3139"/>
    <cellStyle name="40% - Accent4 5 3 3" xfId="4197"/>
    <cellStyle name="40% - Accent4 5 3_Exh G" xfId="3138"/>
    <cellStyle name="40% - Accent4 5 4" xfId="977"/>
    <cellStyle name="40% - Accent4 5 5" xfId="1543"/>
    <cellStyle name="40% - Accent4 5 5 2" xfId="5073"/>
    <cellStyle name="40% - Accent4 5 5_Exh G" xfId="3140"/>
    <cellStyle name="40% - Accent4 5 6" xfId="4194"/>
    <cellStyle name="40% - Accent4 5_Exh G" xfId="3133"/>
    <cellStyle name="40% - Accent4 6" xfId="519"/>
    <cellStyle name="40% - Accent4 6 2" xfId="520"/>
    <cellStyle name="40% - Accent4 6 2 2" xfId="521"/>
    <cellStyle name="40% - Accent4 6 2 2 2" xfId="1549"/>
    <cellStyle name="40% - Accent4 6 2 2 2 2" xfId="5079"/>
    <cellStyle name="40% - Accent4 6 2 2 2_Exh G" xfId="3144"/>
    <cellStyle name="40% - Accent4 6 2 2 3" xfId="4200"/>
    <cellStyle name="40% - Accent4 6 2 2_Exh G" xfId="3143"/>
    <cellStyle name="40% - Accent4 6 2 3" xfId="1548"/>
    <cellStyle name="40% - Accent4 6 2 3 2" xfId="5078"/>
    <cellStyle name="40% - Accent4 6 2 3_Exh G" xfId="3145"/>
    <cellStyle name="40% - Accent4 6 2 4" xfId="4199"/>
    <cellStyle name="40% - Accent4 6 2_Exh G" xfId="3142"/>
    <cellStyle name="40% - Accent4 6 3" xfId="522"/>
    <cellStyle name="40% - Accent4 6 3 2" xfId="1550"/>
    <cellStyle name="40% - Accent4 6 3 2 2" xfId="5080"/>
    <cellStyle name="40% - Accent4 6 3 2_Exh G" xfId="3147"/>
    <cellStyle name="40% - Accent4 6 3 3" xfId="4201"/>
    <cellStyle name="40% - Accent4 6 3_Exh G" xfId="3146"/>
    <cellStyle name="40% - Accent4 6 4" xfId="978"/>
    <cellStyle name="40% - Accent4 6 4 2" xfId="1895"/>
    <cellStyle name="40% - Accent4 6 4 2 2" xfId="5413"/>
    <cellStyle name="40% - Accent4 6 4 2_Exh G" xfId="3149"/>
    <cellStyle name="40% - Accent4 6 4 3" xfId="4534"/>
    <cellStyle name="40% - Accent4 6 4_Exh G" xfId="3148"/>
    <cellStyle name="40% - Accent4 6 5" xfId="1547"/>
    <cellStyle name="40% - Accent4 6 5 2" xfId="5077"/>
    <cellStyle name="40% - Accent4 6 5_Exh G" xfId="3150"/>
    <cellStyle name="40% - Accent4 6 6" xfId="4198"/>
    <cellStyle name="40% - Accent4 6_Exh G" xfId="3141"/>
    <cellStyle name="40% - Accent4 7" xfId="523"/>
    <cellStyle name="40% - Accent4 7 2" xfId="524"/>
    <cellStyle name="40% - Accent4 7 2 2" xfId="525"/>
    <cellStyle name="40% - Accent4 7 2 2 2" xfId="1553"/>
    <cellStyle name="40% - Accent4 7 2 2 2 2" xfId="5083"/>
    <cellStyle name="40% - Accent4 7 2 2 2_Exh G" xfId="3154"/>
    <cellStyle name="40% - Accent4 7 2 2 3" xfId="4204"/>
    <cellStyle name="40% - Accent4 7 2 2_Exh G" xfId="3153"/>
    <cellStyle name="40% - Accent4 7 2 3" xfId="1552"/>
    <cellStyle name="40% - Accent4 7 2 3 2" xfId="5082"/>
    <cellStyle name="40% - Accent4 7 2 3_Exh G" xfId="3155"/>
    <cellStyle name="40% - Accent4 7 2 4" xfId="4203"/>
    <cellStyle name="40% - Accent4 7 2_Exh G" xfId="3152"/>
    <cellStyle name="40% - Accent4 7 3" xfId="526"/>
    <cellStyle name="40% - Accent4 7 3 2" xfId="1554"/>
    <cellStyle name="40% - Accent4 7 3 2 2" xfId="5084"/>
    <cellStyle name="40% - Accent4 7 3 2_Exh G" xfId="3157"/>
    <cellStyle name="40% - Accent4 7 3 3" xfId="4205"/>
    <cellStyle name="40% - Accent4 7 3_Exh G" xfId="3156"/>
    <cellStyle name="40% - Accent4 7 4" xfId="979"/>
    <cellStyle name="40% - Accent4 7 4 2" xfId="1896"/>
    <cellStyle name="40% - Accent4 7 4 2 2" xfId="5414"/>
    <cellStyle name="40% - Accent4 7 4 2_Exh G" xfId="3159"/>
    <cellStyle name="40% - Accent4 7 4 3" xfId="4535"/>
    <cellStyle name="40% - Accent4 7 4_Exh G" xfId="3158"/>
    <cellStyle name="40% - Accent4 7 5" xfId="1551"/>
    <cellStyle name="40% - Accent4 7 5 2" xfId="5081"/>
    <cellStyle name="40% - Accent4 7 5_Exh G" xfId="3160"/>
    <cellStyle name="40% - Accent4 7 6" xfId="4202"/>
    <cellStyle name="40% - Accent4 7_Exh G" xfId="3151"/>
    <cellStyle name="40% - Accent4 8" xfId="527"/>
    <cellStyle name="40% - Accent4 8 2" xfId="528"/>
    <cellStyle name="40% - Accent4 8 2 2" xfId="529"/>
    <cellStyle name="40% - Accent4 8 2 2 2" xfId="1557"/>
    <cellStyle name="40% - Accent4 8 2 2 2 2" xfId="5087"/>
    <cellStyle name="40% - Accent4 8 2 2 2_Exh G" xfId="3164"/>
    <cellStyle name="40% - Accent4 8 2 2 3" xfId="4208"/>
    <cellStyle name="40% - Accent4 8 2 2_Exh G" xfId="3163"/>
    <cellStyle name="40% - Accent4 8 2 3" xfId="1556"/>
    <cellStyle name="40% - Accent4 8 2 3 2" xfId="5086"/>
    <cellStyle name="40% - Accent4 8 2 3_Exh G" xfId="3165"/>
    <cellStyle name="40% - Accent4 8 2 4" xfId="4207"/>
    <cellStyle name="40% - Accent4 8 2_Exh G" xfId="3162"/>
    <cellStyle name="40% - Accent4 8 3" xfId="530"/>
    <cellStyle name="40% - Accent4 8 3 2" xfId="1558"/>
    <cellStyle name="40% - Accent4 8 3 2 2" xfId="5088"/>
    <cellStyle name="40% - Accent4 8 3 2_Exh G" xfId="3167"/>
    <cellStyle name="40% - Accent4 8 3 3" xfId="4209"/>
    <cellStyle name="40% - Accent4 8 3_Exh G" xfId="3166"/>
    <cellStyle name="40% - Accent4 8 4" xfId="980"/>
    <cellStyle name="40% - Accent4 8 4 2" xfId="1897"/>
    <cellStyle name="40% - Accent4 8 4 2 2" xfId="5415"/>
    <cellStyle name="40% - Accent4 8 4 2_Exh G" xfId="3169"/>
    <cellStyle name="40% - Accent4 8 4 3" xfId="4536"/>
    <cellStyle name="40% - Accent4 8 4_Exh G" xfId="3168"/>
    <cellStyle name="40% - Accent4 8 5" xfId="1555"/>
    <cellStyle name="40% - Accent4 8 5 2" xfId="5085"/>
    <cellStyle name="40% - Accent4 8 5_Exh G" xfId="3170"/>
    <cellStyle name="40% - Accent4 8 6" xfId="4206"/>
    <cellStyle name="40% - Accent4 8_Exh G" xfId="3161"/>
    <cellStyle name="40% - Accent4 9" xfId="531"/>
    <cellStyle name="40% - Accent4 9 2" xfId="532"/>
    <cellStyle name="40% - Accent4 9 2 2" xfId="533"/>
    <cellStyle name="40% - Accent4 9 2 2 2" xfId="1561"/>
    <cellStyle name="40% - Accent4 9 2 2 2 2" xfId="5091"/>
    <cellStyle name="40% - Accent4 9 2 2 2_Exh G" xfId="3174"/>
    <cellStyle name="40% - Accent4 9 2 2 3" xfId="4212"/>
    <cellStyle name="40% - Accent4 9 2 2_Exh G" xfId="3173"/>
    <cellStyle name="40% - Accent4 9 2 3" xfId="1560"/>
    <cellStyle name="40% - Accent4 9 2 3 2" xfId="5090"/>
    <cellStyle name="40% - Accent4 9 2 3_Exh G" xfId="3175"/>
    <cellStyle name="40% - Accent4 9 2 4" xfId="4211"/>
    <cellStyle name="40% - Accent4 9 2_Exh G" xfId="3172"/>
    <cellStyle name="40% - Accent4 9 3" xfId="534"/>
    <cellStyle name="40% - Accent4 9 3 2" xfId="1562"/>
    <cellStyle name="40% - Accent4 9 3 2 2" xfId="5092"/>
    <cellStyle name="40% - Accent4 9 3 2_Exh G" xfId="3177"/>
    <cellStyle name="40% - Accent4 9 3 3" xfId="4213"/>
    <cellStyle name="40% - Accent4 9 3_Exh G" xfId="3176"/>
    <cellStyle name="40% - Accent4 9 4" xfId="981"/>
    <cellStyle name="40% - Accent4 9 4 2" xfId="1898"/>
    <cellStyle name="40% - Accent4 9 4 2 2" xfId="5416"/>
    <cellStyle name="40% - Accent4 9 4 2_Exh G" xfId="3179"/>
    <cellStyle name="40% - Accent4 9 4 3" xfId="4537"/>
    <cellStyle name="40% - Accent4 9 4_Exh G" xfId="3178"/>
    <cellStyle name="40% - Accent4 9 5" xfId="1559"/>
    <cellStyle name="40% - Accent4 9 5 2" xfId="5089"/>
    <cellStyle name="40% - Accent4 9 5_Exh G" xfId="3180"/>
    <cellStyle name="40% - Accent4 9 6" xfId="4210"/>
    <cellStyle name="40% - Accent4 9_Exh G" xfId="3171"/>
    <cellStyle name="40% - Accent5 10" xfId="535"/>
    <cellStyle name="40% - Accent5 10 2" xfId="536"/>
    <cellStyle name="40% - Accent5 10 2 2" xfId="537"/>
    <cellStyle name="40% - Accent5 10 2 2 2" xfId="1565"/>
    <cellStyle name="40% - Accent5 10 2 2 2 2" xfId="5095"/>
    <cellStyle name="40% - Accent5 10 2 2 2_Exh G" xfId="3184"/>
    <cellStyle name="40% - Accent5 10 2 2 3" xfId="4216"/>
    <cellStyle name="40% - Accent5 10 2 2_Exh G" xfId="3183"/>
    <cellStyle name="40% - Accent5 10 2 3" xfId="1564"/>
    <cellStyle name="40% - Accent5 10 2 3 2" xfId="5094"/>
    <cellStyle name="40% - Accent5 10 2 3_Exh G" xfId="3185"/>
    <cellStyle name="40% - Accent5 10 2 4" xfId="4215"/>
    <cellStyle name="40% - Accent5 10 2_Exh G" xfId="3182"/>
    <cellStyle name="40% - Accent5 10 3" xfId="538"/>
    <cellStyle name="40% - Accent5 10 3 2" xfId="1566"/>
    <cellStyle name="40% - Accent5 10 3 2 2" xfId="5096"/>
    <cellStyle name="40% - Accent5 10 3 2_Exh G" xfId="3187"/>
    <cellStyle name="40% - Accent5 10 3 3" xfId="4217"/>
    <cellStyle name="40% - Accent5 10 3_Exh G" xfId="3186"/>
    <cellStyle name="40% - Accent5 10 4" xfId="982"/>
    <cellStyle name="40% - Accent5 10 5" xfId="1563"/>
    <cellStyle name="40% - Accent5 10 5 2" xfId="5093"/>
    <cellStyle name="40% - Accent5 10 5_Exh G" xfId="3188"/>
    <cellStyle name="40% - Accent5 10 6" xfId="4214"/>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_Exh G" xfId="3192"/>
    <cellStyle name="40% - Accent5 11 2 2 3" xfId="4220"/>
    <cellStyle name="40% - Accent5 11 2 2_Exh G" xfId="3191"/>
    <cellStyle name="40% - Accent5 11 2 3" xfId="1568"/>
    <cellStyle name="40% - Accent5 11 2 3 2" xfId="5098"/>
    <cellStyle name="40% - Accent5 11 2 3_Exh G" xfId="3193"/>
    <cellStyle name="40% - Accent5 11 2 4" xfId="4219"/>
    <cellStyle name="40% - Accent5 11 2_Exh G" xfId="3190"/>
    <cellStyle name="40% - Accent5 11 3" xfId="542"/>
    <cellStyle name="40% - Accent5 11 3 2" xfId="1570"/>
    <cellStyle name="40% - Accent5 11 3 2 2" xfId="5100"/>
    <cellStyle name="40% - Accent5 11 3 2_Exh G" xfId="3195"/>
    <cellStyle name="40% - Accent5 11 3 3" xfId="4221"/>
    <cellStyle name="40% - Accent5 11 3_Exh G" xfId="3194"/>
    <cellStyle name="40% - Accent5 11 4" xfId="1567"/>
    <cellStyle name="40% - Accent5 11 4 2" xfId="5097"/>
    <cellStyle name="40% - Accent5 11 4_Exh G" xfId="3196"/>
    <cellStyle name="40% - Accent5 11 5" xfId="4218"/>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_Exh G" xfId="3200"/>
    <cellStyle name="40% - Accent5 12 2 2 3" xfId="4224"/>
    <cellStyle name="40% - Accent5 12 2 2_Exh G" xfId="3199"/>
    <cellStyle name="40% - Accent5 12 2 3" xfId="1572"/>
    <cellStyle name="40% - Accent5 12 2 3 2" xfId="5102"/>
    <cellStyle name="40% - Accent5 12 2 3_Exh G" xfId="3201"/>
    <cellStyle name="40% - Accent5 12 2 4" xfId="4223"/>
    <cellStyle name="40% - Accent5 12 2_Exh G" xfId="3198"/>
    <cellStyle name="40% - Accent5 12 3" xfId="546"/>
    <cellStyle name="40% - Accent5 12 3 2" xfId="1574"/>
    <cellStyle name="40% - Accent5 12 3 2 2" xfId="5104"/>
    <cellStyle name="40% - Accent5 12 3 2_Exh G" xfId="3203"/>
    <cellStyle name="40% - Accent5 12 3 3" xfId="4225"/>
    <cellStyle name="40% - Accent5 12 3_Exh G" xfId="3202"/>
    <cellStyle name="40% - Accent5 12 4" xfId="1571"/>
    <cellStyle name="40% - Accent5 12 4 2" xfId="5101"/>
    <cellStyle name="40% - Accent5 12 4_Exh G" xfId="3204"/>
    <cellStyle name="40% - Accent5 12 5" xfId="4222"/>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_Exh G" xfId="3208"/>
    <cellStyle name="40% - Accent5 13 2 2 3" xfId="4228"/>
    <cellStyle name="40% - Accent5 13 2 2_Exh G" xfId="3207"/>
    <cellStyle name="40% - Accent5 13 2 3" xfId="1576"/>
    <cellStyle name="40% - Accent5 13 2 3 2" xfId="5106"/>
    <cellStyle name="40% - Accent5 13 2 3_Exh G" xfId="3209"/>
    <cellStyle name="40% - Accent5 13 2 4" xfId="4227"/>
    <cellStyle name="40% - Accent5 13 2_Exh G" xfId="3206"/>
    <cellStyle name="40% - Accent5 13 3" xfId="550"/>
    <cellStyle name="40% - Accent5 13 3 2" xfId="1578"/>
    <cellStyle name="40% - Accent5 13 3 2 2" xfId="5108"/>
    <cellStyle name="40% - Accent5 13 3 2_Exh G" xfId="3211"/>
    <cellStyle name="40% - Accent5 13 3 3" xfId="4229"/>
    <cellStyle name="40% - Accent5 13 3_Exh G" xfId="3210"/>
    <cellStyle name="40% - Accent5 13 4" xfId="1575"/>
    <cellStyle name="40% - Accent5 13 4 2" xfId="5105"/>
    <cellStyle name="40% - Accent5 13 4_Exh G" xfId="3212"/>
    <cellStyle name="40% - Accent5 13 5" xfId="4226"/>
    <cellStyle name="40% - Accent5 13_Exh G" xfId="3205"/>
    <cellStyle name="40% - Accent5 14" xfId="551"/>
    <cellStyle name="40% - Accent5 14 2" xfId="552"/>
    <cellStyle name="40% - Accent5 14 2 2" xfId="1580"/>
    <cellStyle name="40% - Accent5 14 2 2 2" xfId="5110"/>
    <cellStyle name="40% - Accent5 14 2 2_Exh G" xfId="3215"/>
    <cellStyle name="40% - Accent5 14 2 3" xfId="4231"/>
    <cellStyle name="40% - Accent5 14 2_Exh G" xfId="3214"/>
    <cellStyle name="40% - Accent5 14 3" xfId="1579"/>
    <cellStyle name="40% - Accent5 14 3 2" xfId="5109"/>
    <cellStyle name="40% - Accent5 14 3_Exh G" xfId="3216"/>
    <cellStyle name="40% - Accent5 14 4" xfId="4230"/>
    <cellStyle name="40% - Accent5 14_Exh G" xfId="3213"/>
    <cellStyle name="40% - Accent5 15" xfId="553"/>
    <cellStyle name="40% - Accent5 15 2" xfId="1581"/>
    <cellStyle name="40% - Accent5 15 2 2" xfId="5111"/>
    <cellStyle name="40% - Accent5 15 2_Exh G" xfId="3218"/>
    <cellStyle name="40% - Accent5 15 3" xfId="4232"/>
    <cellStyle name="40% - Accent5 15_Exh G" xfId="3217"/>
    <cellStyle name="40% - Accent5 16" xfId="853"/>
    <cellStyle name="40% - Accent5 16 2" xfId="1792"/>
    <cellStyle name="40% - Accent5 16 2 2" xfId="5313"/>
    <cellStyle name="40% - Accent5 16 2_Exh G" xfId="3220"/>
    <cellStyle name="40% - Accent5 16 3" xfId="4434"/>
    <cellStyle name="40% - Accent5 16_Exh G" xfId="3219"/>
    <cellStyle name="40% - Accent5 2" xfId="554"/>
    <cellStyle name="40% - Accent5 2 2" xfId="555"/>
    <cellStyle name="40% - Accent5 2 2 2" xfId="556"/>
    <cellStyle name="40% - Accent5 2 2 2 2" xfId="1584"/>
    <cellStyle name="40% - Accent5 2 2 2 2 2" xfId="5114"/>
    <cellStyle name="40% - Accent5 2 2 2 2_Exh G" xfId="3224"/>
    <cellStyle name="40% - Accent5 2 2 2 3" xfId="4235"/>
    <cellStyle name="40% - Accent5 2 2 2_Exh G" xfId="3223"/>
    <cellStyle name="40% - Accent5 2 2 3" xfId="984"/>
    <cellStyle name="40% - Accent5 2 2 3 2" xfId="1900"/>
    <cellStyle name="40% - Accent5 2 2 3 2 2" xfId="5418"/>
    <cellStyle name="40% - Accent5 2 2 3 2_Exh G" xfId="3226"/>
    <cellStyle name="40% - Accent5 2 2 3 3" xfId="4539"/>
    <cellStyle name="40% - Accent5 2 2 3_Exh G" xfId="3225"/>
    <cellStyle name="40% - Accent5 2 2 4" xfId="1583"/>
    <cellStyle name="40% - Accent5 2 2 4 2" xfId="5113"/>
    <cellStyle name="40% - Accent5 2 2 4_Exh G" xfId="3227"/>
    <cellStyle name="40% - Accent5 2 2 5" xfId="4234"/>
    <cellStyle name="40% - Accent5 2 2_Exh G" xfId="3222"/>
    <cellStyle name="40% - Accent5 2 3" xfId="557"/>
    <cellStyle name="40% - Accent5 2 3 2" xfId="1585"/>
    <cellStyle name="40% - Accent5 2 3 2 2" xfId="5115"/>
    <cellStyle name="40% - Accent5 2 3 2_Exh G" xfId="3229"/>
    <cellStyle name="40% - Accent5 2 3 3" xfId="4236"/>
    <cellStyle name="40% - Accent5 2 3_Exh G" xfId="3228"/>
    <cellStyle name="40% - Accent5 2 4" xfId="983"/>
    <cellStyle name="40% - Accent5 2 4 2" xfId="1899"/>
    <cellStyle name="40% - Accent5 2 4 2 2" xfId="5417"/>
    <cellStyle name="40% - Accent5 2 4 2_Exh G" xfId="3231"/>
    <cellStyle name="40% - Accent5 2 4 3" xfId="4538"/>
    <cellStyle name="40% - Accent5 2 4_Exh G" xfId="3230"/>
    <cellStyle name="40% - Accent5 2 5" xfId="1582"/>
    <cellStyle name="40% - Accent5 2 5 2" xfId="5112"/>
    <cellStyle name="40% - Accent5 2 5_Exh G" xfId="3232"/>
    <cellStyle name="40% - Accent5 2 6" xfId="4233"/>
    <cellStyle name="40% - Accent5 2_Exh G" xfId="3221"/>
    <cellStyle name="40% - Accent5 3" xfId="558"/>
    <cellStyle name="40% - Accent5 3 2" xfId="559"/>
    <cellStyle name="40% - Accent5 3 2 2" xfId="560"/>
    <cellStyle name="40% - Accent5 3 2 2 2" xfId="1588"/>
    <cellStyle name="40% - Accent5 3 2 2 2 2" xfId="5118"/>
    <cellStyle name="40% - Accent5 3 2 2 2_Exh G" xfId="3236"/>
    <cellStyle name="40% - Accent5 3 2 2 3" xfId="4239"/>
    <cellStyle name="40% - Accent5 3 2 2_Exh G" xfId="3235"/>
    <cellStyle name="40% - Accent5 3 2 3" xfId="986"/>
    <cellStyle name="40% - Accent5 3 2 3 2" xfId="1902"/>
    <cellStyle name="40% - Accent5 3 2 3 2 2" xfId="5420"/>
    <cellStyle name="40% - Accent5 3 2 3 2_Exh G" xfId="3238"/>
    <cellStyle name="40% - Accent5 3 2 3 3" xfId="4541"/>
    <cellStyle name="40% - Accent5 3 2 3_Exh G" xfId="3237"/>
    <cellStyle name="40% - Accent5 3 2 4" xfId="1587"/>
    <cellStyle name="40% - Accent5 3 2 4 2" xfId="5117"/>
    <cellStyle name="40% - Accent5 3 2 4_Exh G" xfId="3239"/>
    <cellStyle name="40% - Accent5 3 2 5" xfId="4238"/>
    <cellStyle name="40% - Accent5 3 2_Exh G" xfId="3234"/>
    <cellStyle name="40% - Accent5 3 3" xfId="561"/>
    <cellStyle name="40% - Accent5 3 3 2" xfId="1589"/>
    <cellStyle name="40% - Accent5 3 3 2 2" xfId="5119"/>
    <cellStyle name="40% - Accent5 3 3 2_Exh G" xfId="3241"/>
    <cellStyle name="40% - Accent5 3 3 3" xfId="4240"/>
    <cellStyle name="40% - Accent5 3 3_Exh G" xfId="3240"/>
    <cellStyle name="40% - Accent5 3 4" xfId="985"/>
    <cellStyle name="40% - Accent5 3 4 2" xfId="1901"/>
    <cellStyle name="40% - Accent5 3 4 2 2" xfId="5419"/>
    <cellStyle name="40% - Accent5 3 4 2_Exh G" xfId="3243"/>
    <cellStyle name="40% - Accent5 3 4 3" xfId="4540"/>
    <cellStyle name="40% - Accent5 3 4_Exh G" xfId="3242"/>
    <cellStyle name="40% - Accent5 3 5" xfId="1586"/>
    <cellStyle name="40% - Accent5 3 5 2" xfId="5116"/>
    <cellStyle name="40% - Accent5 3 5_Exh G" xfId="3244"/>
    <cellStyle name="40% - Accent5 3 6" xfId="4237"/>
    <cellStyle name="40% - Accent5 3_Exh G" xfId="3233"/>
    <cellStyle name="40% - Accent5 4" xfId="562"/>
    <cellStyle name="40% - Accent5 4 2" xfId="563"/>
    <cellStyle name="40% - Accent5 4 2 2" xfId="564"/>
    <cellStyle name="40% - Accent5 4 2 2 2" xfId="1592"/>
    <cellStyle name="40% - Accent5 4 2 2 2 2" xfId="5122"/>
    <cellStyle name="40% - Accent5 4 2 2 2_Exh G" xfId="3248"/>
    <cellStyle name="40% - Accent5 4 2 2 3" xfId="4243"/>
    <cellStyle name="40% - Accent5 4 2 2_Exh G" xfId="3247"/>
    <cellStyle name="40% - Accent5 4 2 3" xfId="988"/>
    <cellStyle name="40% - Accent5 4 2 3 2" xfId="1904"/>
    <cellStyle name="40% - Accent5 4 2 3 2 2" xfId="5422"/>
    <cellStyle name="40% - Accent5 4 2 3 2_Exh G" xfId="3250"/>
    <cellStyle name="40% - Accent5 4 2 3 3" xfId="4543"/>
    <cellStyle name="40% - Accent5 4 2 3_Exh G" xfId="3249"/>
    <cellStyle name="40% - Accent5 4 2 4" xfId="1591"/>
    <cellStyle name="40% - Accent5 4 2 4 2" xfId="5121"/>
    <cellStyle name="40% - Accent5 4 2 4_Exh G" xfId="3251"/>
    <cellStyle name="40% - Accent5 4 2 5" xfId="4242"/>
    <cellStyle name="40% - Accent5 4 2_Exh G" xfId="3246"/>
    <cellStyle name="40% - Accent5 4 3" xfId="565"/>
    <cellStyle name="40% - Accent5 4 3 2" xfId="1593"/>
    <cellStyle name="40% - Accent5 4 3 2 2" xfId="5123"/>
    <cellStyle name="40% - Accent5 4 3 2_Exh G" xfId="3253"/>
    <cellStyle name="40% - Accent5 4 3 3" xfId="4244"/>
    <cellStyle name="40% - Accent5 4 3_Exh G" xfId="3252"/>
    <cellStyle name="40% - Accent5 4 4" xfId="987"/>
    <cellStyle name="40% - Accent5 4 4 2" xfId="1903"/>
    <cellStyle name="40% - Accent5 4 4 2 2" xfId="5421"/>
    <cellStyle name="40% - Accent5 4 4 2_Exh G" xfId="3255"/>
    <cellStyle name="40% - Accent5 4 4 3" xfId="4542"/>
    <cellStyle name="40% - Accent5 4 4_Exh G" xfId="3254"/>
    <cellStyle name="40% - Accent5 4 5" xfId="1590"/>
    <cellStyle name="40% - Accent5 4 5 2" xfId="5120"/>
    <cellStyle name="40% - Accent5 4 5_Exh G" xfId="3256"/>
    <cellStyle name="40% - Accent5 4 6" xfId="4241"/>
    <cellStyle name="40% - Accent5 4_Exh G" xfId="3245"/>
    <cellStyle name="40% - Accent5 5" xfId="566"/>
    <cellStyle name="40% - Accent5 5 2" xfId="567"/>
    <cellStyle name="40% - Accent5 5 2 2" xfId="568"/>
    <cellStyle name="40% - Accent5 5 2 2 2" xfId="1596"/>
    <cellStyle name="40% - Accent5 5 2 2 2 2" xfId="5126"/>
    <cellStyle name="40% - Accent5 5 2 2 2_Exh G" xfId="3260"/>
    <cellStyle name="40% - Accent5 5 2 2 3" xfId="4247"/>
    <cellStyle name="40% - Accent5 5 2 2_Exh G" xfId="3259"/>
    <cellStyle name="40% - Accent5 5 2 3" xfId="1595"/>
    <cellStyle name="40% - Accent5 5 2 3 2" xfId="5125"/>
    <cellStyle name="40% - Accent5 5 2 3_Exh G" xfId="3261"/>
    <cellStyle name="40% - Accent5 5 2 4" xfId="4246"/>
    <cellStyle name="40% - Accent5 5 2_Exh G" xfId="3258"/>
    <cellStyle name="40% - Accent5 5 3" xfId="569"/>
    <cellStyle name="40% - Accent5 5 3 2" xfId="1597"/>
    <cellStyle name="40% - Accent5 5 3 2 2" xfId="5127"/>
    <cellStyle name="40% - Accent5 5 3 2_Exh G" xfId="3263"/>
    <cellStyle name="40% - Accent5 5 3 3" xfId="4248"/>
    <cellStyle name="40% - Accent5 5 3_Exh G" xfId="3262"/>
    <cellStyle name="40% - Accent5 5 4" xfId="989"/>
    <cellStyle name="40% - Accent5 5 5" xfId="1594"/>
    <cellStyle name="40% - Accent5 5 5 2" xfId="5124"/>
    <cellStyle name="40% - Accent5 5 5_Exh G" xfId="3264"/>
    <cellStyle name="40% - Accent5 5 6" xfId="4245"/>
    <cellStyle name="40% - Accent5 5_Exh G" xfId="3257"/>
    <cellStyle name="40% - Accent5 6" xfId="570"/>
    <cellStyle name="40% - Accent5 6 2" xfId="571"/>
    <cellStyle name="40% - Accent5 6 2 2" xfId="572"/>
    <cellStyle name="40% - Accent5 6 2 2 2" xfId="1600"/>
    <cellStyle name="40% - Accent5 6 2 2 2 2" xfId="5130"/>
    <cellStyle name="40% - Accent5 6 2 2 2_Exh G" xfId="3268"/>
    <cellStyle name="40% - Accent5 6 2 2 3" xfId="4251"/>
    <cellStyle name="40% - Accent5 6 2 2_Exh G" xfId="3267"/>
    <cellStyle name="40% - Accent5 6 2 3" xfId="1599"/>
    <cellStyle name="40% - Accent5 6 2 3 2" xfId="5129"/>
    <cellStyle name="40% - Accent5 6 2 3_Exh G" xfId="3269"/>
    <cellStyle name="40% - Accent5 6 2 4" xfId="4250"/>
    <cellStyle name="40% - Accent5 6 2_Exh G" xfId="3266"/>
    <cellStyle name="40% - Accent5 6 3" xfId="573"/>
    <cellStyle name="40% - Accent5 6 3 2" xfId="1601"/>
    <cellStyle name="40% - Accent5 6 3 2 2" xfId="5131"/>
    <cellStyle name="40% - Accent5 6 3 2_Exh G" xfId="3271"/>
    <cellStyle name="40% - Accent5 6 3 3" xfId="4252"/>
    <cellStyle name="40% - Accent5 6 3_Exh G" xfId="3270"/>
    <cellStyle name="40% - Accent5 6 4" xfId="990"/>
    <cellStyle name="40% - Accent5 6 4 2" xfId="1905"/>
    <cellStyle name="40% - Accent5 6 4 2 2" xfId="5423"/>
    <cellStyle name="40% - Accent5 6 4 2_Exh G" xfId="3273"/>
    <cellStyle name="40% - Accent5 6 4 3" xfId="4544"/>
    <cellStyle name="40% - Accent5 6 4_Exh G" xfId="3272"/>
    <cellStyle name="40% - Accent5 6 5" xfId="1598"/>
    <cellStyle name="40% - Accent5 6 5 2" xfId="5128"/>
    <cellStyle name="40% - Accent5 6 5_Exh G" xfId="3274"/>
    <cellStyle name="40% - Accent5 6 6" xfId="4249"/>
    <cellStyle name="40% - Accent5 6_Exh G" xfId="3265"/>
    <cellStyle name="40% - Accent5 7" xfId="574"/>
    <cellStyle name="40% - Accent5 7 2" xfId="575"/>
    <cellStyle name="40% - Accent5 7 2 2" xfId="576"/>
    <cellStyle name="40% - Accent5 7 2 2 2" xfId="1604"/>
    <cellStyle name="40% - Accent5 7 2 2 2 2" xfId="5134"/>
    <cellStyle name="40% - Accent5 7 2 2 2_Exh G" xfId="3278"/>
    <cellStyle name="40% - Accent5 7 2 2 3" xfId="4255"/>
    <cellStyle name="40% - Accent5 7 2 2_Exh G" xfId="3277"/>
    <cellStyle name="40% - Accent5 7 2 3" xfId="1603"/>
    <cellStyle name="40% - Accent5 7 2 3 2" xfId="5133"/>
    <cellStyle name="40% - Accent5 7 2 3_Exh G" xfId="3279"/>
    <cellStyle name="40% - Accent5 7 2 4" xfId="4254"/>
    <cellStyle name="40% - Accent5 7 2_Exh G" xfId="3276"/>
    <cellStyle name="40% - Accent5 7 3" xfId="577"/>
    <cellStyle name="40% - Accent5 7 3 2" xfId="1605"/>
    <cellStyle name="40% - Accent5 7 3 2 2" xfId="5135"/>
    <cellStyle name="40% - Accent5 7 3 2_Exh G" xfId="3281"/>
    <cellStyle name="40% - Accent5 7 3 3" xfId="4256"/>
    <cellStyle name="40% - Accent5 7 3_Exh G" xfId="3280"/>
    <cellStyle name="40% - Accent5 7 4" xfId="991"/>
    <cellStyle name="40% - Accent5 7 4 2" xfId="1906"/>
    <cellStyle name="40% - Accent5 7 4 2 2" xfId="5424"/>
    <cellStyle name="40% - Accent5 7 4 2_Exh G" xfId="3283"/>
    <cellStyle name="40% - Accent5 7 4 3" xfId="4545"/>
    <cellStyle name="40% - Accent5 7 4_Exh G" xfId="3282"/>
    <cellStyle name="40% - Accent5 7 5" xfId="1602"/>
    <cellStyle name="40% - Accent5 7 5 2" xfId="5132"/>
    <cellStyle name="40% - Accent5 7 5_Exh G" xfId="3284"/>
    <cellStyle name="40% - Accent5 7 6" xfId="4253"/>
    <cellStyle name="40% - Accent5 7_Exh G" xfId="3275"/>
    <cellStyle name="40% - Accent5 8" xfId="578"/>
    <cellStyle name="40% - Accent5 8 2" xfId="579"/>
    <cellStyle name="40% - Accent5 8 2 2" xfId="580"/>
    <cellStyle name="40% - Accent5 8 2 2 2" xfId="1608"/>
    <cellStyle name="40% - Accent5 8 2 2 2 2" xfId="5138"/>
    <cellStyle name="40% - Accent5 8 2 2 2_Exh G" xfId="3288"/>
    <cellStyle name="40% - Accent5 8 2 2 3" xfId="4259"/>
    <cellStyle name="40% - Accent5 8 2 2_Exh G" xfId="3287"/>
    <cellStyle name="40% - Accent5 8 2 3" xfId="1607"/>
    <cellStyle name="40% - Accent5 8 2 3 2" xfId="5137"/>
    <cellStyle name="40% - Accent5 8 2 3_Exh G" xfId="3289"/>
    <cellStyle name="40% - Accent5 8 2 4" xfId="4258"/>
    <cellStyle name="40% - Accent5 8 2_Exh G" xfId="3286"/>
    <cellStyle name="40% - Accent5 8 3" xfId="581"/>
    <cellStyle name="40% - Accent5 8 3 2" xfId="1609"/>
    <cellStyle name="40% - Accent5 8 3 2 2" xfId="5139"/>
    <cellStyle name="40% - Accent5 8 3 2_Exh G" xfId="3291"/>
    <cellStyle name="40% - Accent5 8 3 3" xfId="4260"/>
    <cellStyle name="40% - Accent5 8 3_Exh G" xfId="3290"/>
    <cellStyle name="40% - Accent5 8 4" xfId="992"/>
    <cellStyle name="40% - Accent5 8 4 2" xfId="1907"/>
    <cellStyle name="40% - Accent5 8 4 2 2" xfId="5425"/>
    <cellStyle name="40% - Accent5 8 4 2_Exh G" xfId="3293"/>
    <cellStyle name="40% - Accent5 8 4 3" xfId="4546"/>
    <cellStyle name="40% - Accent5 8 4_Exh G" xfId="3292"/>
    <cellStyle name="40% - Accent5 8 5" xfId="1606"/>
    <cellStyle name="40% - Accent5 8 5 2" xfId="5136"/>
    <cellStyle name="40% - Accent5 8 5_Exh G" xfId="3294"/>
    <cellStyle name="40% - Accent5 8 6" xfId="4257"/>
    <cellStyle name="40% - Accent5 8_Exh G" xfId="3285"/>
    <cellStyle name="40% - Accent5 9" xfId="582"/>
    <cellStyle name="40% - Accent5 9 2" xfId="583"/>
    <cellStyle name="40% - Accent5 9 2 2" xfId="584"/>
    <cellStyle name="40% - Accent5 9 2 2 2" xfId="1612"/>
    <cellStyle name="40% - Accent5 9 2 2 2 2" xfId="5142"/>
    <cellStyle name="40% - Accent5 9 2 2 2_Exh G" xfId="3298"/>
    <cellStyle name="40% - Accent5 9 2 2 3" xfId="4263"/>
    <cellStyle name="40% - Accent5 9 2 2_Exh G" xfId="3297"/>
    <cellStyle name="40% - Accent5 9 2 3" xfId="1611"/>
    <cellStyle name="40% - Accent5 9 2 3 2" xfId="5141"/>
    <cellStyle name="40% - Accent5 9 2 3_Exh G" xfId="3299"/>
    <cellStyle name="40% - Accent5 9 2 4" xfId="4262"/>
    <cellStyle name="40% - Accent5 9 2_Exh G" xfId="3296"/>
    <cellStyle name="40% - Accent5 9 3" xfId="585"/>
    <cellStyle name="40% - Accent5 9 3 2" xfId="1613"/>
    <cellStyle name="40% - Accent5 9 3 2 2" xfId="5143"/>
    <cellStyle name="40% - Accent5 9 3 2_Exh G" xfId="3301"/>
    <cellStyle name="40% - Accent5 9 3 3" xfId="4264"/>
    <cellStyle name="40% - Accent5 9 3_Exh G" xfId="3300"/>
    <cellStyle name="40% - Accent5 9 4" xfId="993"/>
    <cellStyle name="40% - Accent5 9 4 2" xfId="1908"/>
    <cellStyle name="40% - Accent5 9 4 2 2" xfId="5426"/>
    <cellStyle name="40% - Accent5 9 4 2_Exh G" xfId="3303"/>
    <cellStyle name="40% - Accent5 9 4 3" xfId="4547"/>
    <cellStyle name="40% - Accent5 9 4_Exh G" xfId="3302"/>
    <cellStyle name="40% - Accent5 9 5" xfId="1610"/>
    <cellStyle name="40% - Accent5 9 5 2" xfId="5140"/>
    <cellStyle name="40% - Accent5 9 5_Exh G" xfId="3304"/>
    <cellStyle name="40% - Accent5 9 6" xfId="4261"/>
    <cellStyle name="40% - Accent5 9_Exh G" xfId="3295"/>
    <cellStyle name="40% - Accent6 10" xfId="586"/>
    <cellStyle name="40% - Accent6 10 2" xfId="587"/>
    <cellStyle name="40% - Accent6 10 2 2" xfId="588"/>
    <cellStyle name="40% - Accent6 10 2 2 2" xfId="1616"/>
    <cellStyle name="40% - Accent6 10 2 2 2 2" xfId="5146"/>
    <cellStyle name="40% - Accent6 10 2 2 2_Exh G" xfId="3308"/>
    <cellStyle name="40% - Accent6 10 2 2 3" xfId="4267"/>
    <cellStyle name="40% - Accent6 10 2 2_Exh G" xfId="3307"/>
    <cellStyle name="40% - Accent6 10 2 3" xfId="1615"/>
    <cellStyle name="40% - Accent6 10 2 3 2" xfId="5145"/>
    <cellStyle name="40% - Accent6 10 2 3_Exh G" xfId="3309"/>
    <cellStyle name="40% - Accent6 10 2 4" xfId="4266"/>
    <cellStyle name="40% - Accent6 10 2_Exh G" xfId="3306"/>
    <cellStyle name="40% - Accent6 10 3" xfId="589"/>
    <cellStyle name="40% - Accent6 10 3 2" xfId="1617"/>
    <cellStyle name="40% - Accent6 10 3 2 2" xfId="5147"/>
    <cellStyle name="40% - Accent6 10 3 2_Exh G" xfId="3311"/>
    <cellStyle name="40% - Accent6 10 3 3" xfId="4268"/>
    <cellStyle name="40% - Accent6 10 3_Exh G" xfId="3310"/>
    <cellStyle name="40% - Accent6 10 4" xfId="994"/>
    <cellStyle name="40% - Accent6 10 5" xfId="1614"/>
    <cellStyle name="40% - Accent6 10 5 2" xfId="5144"/>
    <cellStyle name="40% - Accent6 10 5_Exh G" xfId="3312"/>
    <cellStyle name="40% - Accent6 10 6" xfId="4265"/>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_Exh G" xfId="3316"/>
    <cellStyle name="40% - Accent6 11 2 2 3" xfId="4271"/>
    <cellStyle name="40% - Accent6 11 2 2_Exh G" xfId="3315"/>
    <cellStyle name="40% - Accent6 11 2 3" xfId="1619"/>
    <cellStyle name="40% - Accent6 11 2 3 2" xfId="5149"/>
    <cellStyle name="40% - Accent6 11 2 3_Exh G" xfId="3317"/>
    <cellStyle name="40% - Accent6 11 2 4" xfId="4270"/>
    <cellStyle name="40% - Accent6 11 2_Exh G" xfId="3314"/>
    <cellStyle name="40% - Accent6 11 3" xfId="593"/>
    <cellStyle name="40% - Accent6 11 3 2" xfId="1621"/>
    <cellStyle name="40% - Accent6 11 3 2 2" xfId="5151"/>
    <cellStyle name="40% - Accent6 11 3 2_Exh G" xfId="3319"/>
    <cellStyle name="40% - Accent6 11 3 3" xfId="4272"/>
    <cellStyle name="40% - Accent6 11 3_Exh G" xfId="3318"/>
    <cellStyle name="40% - Accent6 11 4" xfId="1618"/>
    <cellStyle name="40% - Accent6 11 4 2" xfId="5148"/>
    <cellStyle name="40% - Accent6 11 4_Exh G" xfId="3320"/>
    <cellStyle name="40% - Accent6 11 5" xfId="4269"/>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_Exh G" xfId="3324"/>
    <cellStyle name="40% - Accent6 12 2 2 3" xfId="4275"/>
    <cellStyle name="40% - Accent6 12 2 2_Exh G" xfId="3323"/>
    <cellStyle name="40% - Accent6 12 2 3" xfId="1623"/>
    <cellStyle name="40% - Accent6 12 2 3 2" xfId="5153"/>
    <cellStyle name="40% - Accent6 12 2 3_Exh G" xfId="3325"/>
    <cellStyle name="40% - Accent6 12 2 4" xfId="4274"/>
    <cellStyle name="40% - Accent6 12 2_Exh G" xfId="3322"/>
    <cellStyle name="40% - Accent6 12 3" xfId="597"/>
    <cellStyle name="40% - Accent6 12 3 2" xfId="1625"/>
    <cellStyle name="40% - Accent6 12 3 2 2" xfId="5155"/>
    <cellStyle name="40% - Accent6 12 3 2_Exh G" xfId="3327"/>
    <cellStyle name="40% - Accent6 12 3 3" xfId="4276"/>
    <cellStyle name="40% - Accent6 12 3_Exh G" xfId="3326"/>
    <cellStyle name="40% - Accent6 12 4" xfId="1622"/>
    <cellStyle name="40% - Accent6 12 4 2" xfId="5152"/>
    <cellStyle name="40% - Accent6 12 4_Exh G" xfId="3328"/>
    <cellStyle name="40% - Accent6 12 5" xfId="4273"/>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_Exh G" xfId="3332"/>
    <cellStyle name="40% - Accent6 13 2 2 3" xfId="4279"/>
    <cellStyle name="40% - Accent6 13 2 2_Exh G" xfId="3331"/>
    <cellStyle name="40% - Accent6 13 2 3" xfId="1627"/>
    <cellStyle name="40% - Accent6 13 2 3 2" xfId="5157"/>
    <cellStyle name="40% - Accent6 13 2 3_Exh G" xfId="3333"/>
    <cellStyle name="40% - Accent6 13 2 4" xfId="4278"/>
    <cellStyle name="40% - Accent6 13 2_Exh G" xfId="3330"/>
    <cellStyle name="40% - Accent6 13 3" xfId="601"/>
    <cellStyle name="40% - Accent6 13 3 2" xfId="1629"/>
    <cellStyle name="40% - Accent6 13 3 2 2" xfId="5159"/>
    <cellStyle name="40% - Accent6 13 3 2_Exh G" xfId="3335"/>
    <cellStyle name="40% - Accent6 13 3 3" xfId="4280"/>
    <cellStyle name="40% - Accent6 13 3_Exh G" xfId="3334"/>
    <cellStyle name="40% - Accent6 13 4" xfId="1626"/>
    <cellStyle name="40% - Accent6 13 4 2" xfId="5156"/>
    <cellStyle name="40% - Accent6 13 4_Exh G" xfId="3336"/>
    <cellStyle name="40% - Accent6 13 5" xfId="4277"/>
    <cellStyle name="40% - Accent6 13_Exh G" xfId="3329"/>
    <cellStyle name="40% - Accent6 14" xfId="602"/>
    <cellStyle name="40% - Accent6 14 2" xfId="603"/>
    <cellStyle name="40% - Accent6 14 2 2" xfId="1631"/>
    <cellStyle name="40% - Accent6 14 2 2 2" xfId="5161"/>
    <cellStyle name="40% - Accent6 14 2 2_Exh G" xfId="3339"/>
    <cellStyle name="40% - Accent6 14 2 3" xfId="4282"/>
    <cellStyle name="40% - Accent6 14 2_Exh G" xfId="3338"/>
    <cellStyle name="40% - Accent6 14 3" xfId="1630"/>
    <cellStyle name="40% - Accent6 14 3 2" xfId="5160"/>
    <cellStyle name="40% - Accent6 14 3_Exh G" xfId="3340"/>
    <cellStyle name="40% - Accent6 14 4" xfId="4281"/>
    <cellStyle name="40% - Accent6 14_Exh G" xfId="3337"/>
    <cellStyle name="40% - Accent6 15" xfId="604"/>
    <cellStyle name="40% - Accent6 15 2" xfId="1632"/>
    <cellStyle name="40% - Accent6 15 2 2" xfId="5162"/>
    <cellStyle name="40% - Accent6 15 2_Exh G" xfId="3342"/>
    <cellStyle name="40% - Accent6 15 3" xfId="4283"/>
    <cellStyle name="40% - Accent6 15_Exh G" xfId="3341"/>
    <cellStyle name="40% - Accent6 16" xfId="854"/>
    <cellStyle name="40% - Accent6 16 2" xfId="1793"/>
    <cellStyle name="40% - Accent6 16 2 2" xfId="5314"/>
    <cellStyle name="40% - Accent6 16 2_Exh G" xfId="3344"/>
    <cellStyle name="40% - Accent6 16 3" xfId="4435"/>
    <cellStyle name="40% - Accent6 16_Exh G" xfId="3343"/>
    <cellStyle name="40% - Accent6 2" xfId="605"/>
    <cellStyle name="40% - Accent6 2 2" xfId="606"/>
    <cellStyle name="40% - Accent6 2 2 2" xfId="607"/>
    <cellStyle name="40% - Accent6 2 2 2 2" xfId="1635"/>
    <cellStyle name="40% - Accent6 2 2 2 2 2" xfId="5165"/>
    <cellStyle name="40% - Accent6 2 2 2 2_Exh G" xfId="3348"/>
    <cellStyle name="40% - Accent6 2 2 2 3" xfId="4286"/>
    <cellStyle name="40% - Accent6 2 2 2_Exh G" xfId="3347"/>
    <cellStyle name="40% - Accent6 2 2 3" xfId="996"/>
    <cellStyle name="40% - Accent6 2 2 3 2" xfId="1910"/>
    <cellStyle name="40% - Accent6 2 2 3 2 2" xfId="5428"/>
    <cellStyle name="40% - Accent6 2 2 3 2_Exh G" xfId="3350"/>
    <cellStyle name="40% - Accent6 2 2 3 3" xfId="4549"/>
    <cellStyle name="40% - Accent6 2 2 3_Exh G" xfId="3349"/>
    <cellStyle name="40% - Accent6 2 2 4" xfId="1634"/>
    <cellStyle name="40% - Accent6 2 2 4 2" xfId="5164"/>
    <cellStyle name="40% - Accent6 2 2 4_Exh G" xfId="3351"/>
    <cellStyle name="40% - Accent6 2 2 5" xfId="4285"/>
    <cellStyle name="40% - Accent6 2 2_Exh G" xfId="3346"/>
    <cellStyle name="40% - Accent6 2 3" xfId="608"/>
    <cellStyle name="40% - Accent6 2 3 2" xfId="1636"/>
    <cellStyle name="40% - Accent6 2 3 2 2" xfId="5166"/>
    <cellStyle name="40% - Accent6 2 3 2_Exh G" xfId="3353"/>
    <cellStyle name="40% - Accent6 2 3 3" xfId="4287"/>
    <cellStyle name="40% - Accent6 2 3_Exh G" xfId="3352"/>
    <cellStyle name="40% - Accent6 2 4" xfId="995"/>
    <cellStyle name="40% - Accent6 2 4 2" xfId="1909"/>
    <cellStyle name="40% - Accent6 2 4 2 2" xfId="5427"/>
    <cellStyle name="40% - Accent6 2 4 2_Exh G" xfId="3355"/>
    <cellStyle name="40% - Accent6 2 4 3" xfId="4548"/>
    <cellStyle name="40% - Accent6 2 4_Exh G" xfId="3354"/>
    <cellStyle name="40% - Accent6 2 5" xfId="1633"/>
    <cellStyle name="40% - Accent6 2 5 2" xfId="5163"/>
    <cellStyle name="40% - Accent6 2 5_Exh G" xfId="3356"/>
    <cellStyle name="40% - Accent6 2 6" xfId="4284"/>
    <cellStyle name="40% - Accent6 2_Exh G" xfId="3345"/>
    <cellStyle name="40% - Accent6 3" xfId="609"/>
    <cellStyle name="40% - Accent6 3 2" xfId="610"/>
    <cellStyle name="40% - Accent6 3 2 2" xfId="611"/>
    <cellStyle name="40% - Accent6 3 2 2 2" xfId="1639"/>
    <cellStyle name="40% - Accent6 3 2 2 2 2" xfId="5169"/>
    <cellStyle name="40% - Accent6 3 2 2 2_Exh G" xfId="3360"/>
    <cellStyle name="40% - Accent6 3 2 2 3" xfId="4290"/>
    <cellStyle name="40% - Accent6 3 2 2_Exh G" xfId="3359"/>
    <cellStyle name="40% - Accent6 3 2 3" xfId="998"/>
    <cellStyle name="40% - Accent6 3 2 3 2" xfId="1912"/>
    <cellStyle name="40% - Accent6 3 2 3 2 2" xfId="5430"/>
    <cellStyle name="40% - Accent6 3 2 3 2_Exh G" xfId="3362"/>
    <cellStyle name="40% - Accent6 3 2 3 3" xfId="4551"/>
    <cellStyle name="40% - Accent6 3 2 3_Exh G" xfId="3361"/>
    <cellStyle name="40% - Accent6 3 2 4" xfId="1638"/>
    <cellStyle name="40% - Accent6 3 2 4 2" xfId="5168"/>
    <cellStyle name="40% - Accent6 3 2 4_Exh G" xfId="3363"/>
    <cellStyle name="40% - Accent6 3 2 5" xfId="4289"/>
    <cellStyle name="40% - Accent6 3 2_Exh G" xfId="3358"/>
    <cellStyle name="40% - Accent6 3 3" xfId="612"/>
    <cellStyle name="40% - Accent6 3 3 2" xfId="1640"/>
    <cellStyle name="40% - Accent6 3 3 2 2" xfId="5170"/>
    <cellStyle name="40% - Accent6 3 3 2_Exh G" xfId="3365"/>
    <cellStyle name="40% - Accent6 3 3 3" xfId="4291"/>
    <cellStyle name="40% - Accent6 3 3_Exh G" xfId="3364"/>
    <cellStyle name="40% - Accent6 3 4" xfId="997"/>
    <cellStyle name="40% - Accent6 3 4 2" xfId="1911"/>
    <cellStyle name="40% - Accent6 3 4 2 2" xfId="5429"/>
    <cellStyle name="40% - Accent6 3 4 2_Exh G" xfId="3367"/>
    <cellStyle name="40% - Accent6 3 4 3" xfId="4550"/>
    <cellStyle name="40% - Accent6 3 4_Exh G" xfId="3366"/>
    <cellStyle name="40% - Accent6 3 5" xfId="1637"/>
    <cellStyle name="40% - Accent6 3 5 2" xfId="5167"/>
    <cellStyle name="40% - Accent6 3 5_Exh G" xfId="3368"/>
    <cellStyle name="40% - Accent6 3 6" xfId="4288"/>
    <cellStyle name="40% - Accent6 3_Exh G" xfId="3357"/>
    <cellStyle name="40% - Accent6 4" xfId="613"/>
    <cellStyle name="40% - Accent6 4 2" xfId="614"/>
    <cellStyle name="40% - Accent6 4 2 2" xfId="615"/>
    <cellStyle name="40% - Accent6 4 2 2 2" xfId="1643"/>
    <cellStyle name="40% - Accent6 4 2 2 2 2" xfId="5173"/>
    <cellStyle name="40% - Accent6 4 2 2 2_Exh G" xfId="3372"/>
    <cellStyle name="40% - Accent6 4 2 2 3" xfId="4294"/>
    <cellStyle name="40% - Accent6 4 2 2_Exh G" xfId="3371"/>
    <cellStyle name="40% - Accent6 4 2 3" xfId="1000"/>
    <cellStyle name="40% - Accent6 4 2 3 2" xfId="1914"/>
    <cellStyle name="40% - Accent6 4 2 3 2 2" xfId="5432"/>
    <cellStyle name="40% - Accent6 4 2 3 2_Exh G" xfId="3374"/>
    <cellStyle name="40% - Accent6 4 2 3 3" xfId="4553"/>
    <cellStyle name="40% - Accent6 4 2 3_Exh G" xfId="3373"/>
    <cellStyle name="40% - Accent6 4 2 4" xfId="1642"/>
    <cellStyle name="40% - Accent6 4 2 4 2" xfId="5172"/>
    <cellStyle name="40% - Accent6 4 2 4_Exh G" xfId="3375"/>
    <cellStyle name="40% - Accent6 4 2 5" xfId="4293"/>
    <cellStyle name="40% - Accent6 4 2_Exh G" xfId="3370"/>
    <cellStyle name="40% - Accent6 4 3" xfId="616"/>
    <cellStyle name="40% - Accent6 4 3 2" xfId="1644"/>
    <cellStyle name="40% - Accent6 4 3 2 2" xfId="5174"/>
    <cellStyle name="40% - Accent6 4 3 2_Exh G" xfId="3377"/>
    <cellStyle name="40% - Accent6 4 3 3" xfId="4295"/>
    <cellStyle name="40% - Accent6 4 3_Exh G" xfId="3376"/>
    <cellStyle name="40% - Accent6 4 4" xfId="999"/>
    <cellStyle name="40% - Accent6 4 4 2" xfId="1913"/>
    <cellStyle name="40% - Accent6 4 4 2 2" xfId="5431"/>
    <cellStyle name="40% - Accent6 4 4 2_Exh G" xfId="3379"/>
    <cellStyle name="40% - Accent6 4 4 3" xfId="4552"/>
    <cellStyle name="40% - Accent6 4 4_Exh G" xfId="3378"/>
    <cellStyle name="40% - Accent6 4 5" xfId="1641"/>
    <cellStyle name="40% - Accent6 4 5 2" xfId="5171"/>
    <cellStyle name="40% - Accent6 4 5_Exh G" xfId="3380"/>
    <cellStyle name="40% - Accent6 4 6" xfId="4292"/>
    <cellStyle name="40% - Accent6 4_Exh G" xfId="3369"/>
    <cellStyle name="40% - Accent6 5" xfId="617"/>
    <cellStyle name="40% - Accent6 5 2" xfId="618"/>
    <cellStyle name="40% - Accent6 5 2 2" xfId="619"/>
    <cellStyle name="40% - Accent6 5 2 2 2" xfId="1647"/>
    <cellStyle name="40% - Accent6 5 2 2 2 2" xfId="5177"/>
    <cellStyle name="40% - Accent6 5 2 2 2_Exh G" xfId="3384"/>
    <cellStyle name="40% - Accent6 5 2 2 3" xfId="4298"/>
    <cellStyle name="40% - Accent6 5 2 2_Exh G" xfId="3383"/>
    <cellStyle name="40% - Accent6 5 2 3" xfId="1646"/>
    <cellStyle name="40% - Accent6 5 2 3 2" xfId="5176"/>
    <cellStyle name="40% - Accent6 5 2 3_Exh G" xfId="3385"/>
    <cellStyle name="40% - Accent6 5 2 4" xfId="4297"/>
    <cellStyle name="40% - Accent6 5 2_Exh G" xfId="3382"/>
    <cellStyle name="40% - Accent6 5 3" xfId="620"/>
    <cellStyle name="40% - Accent6 5 3 2" xfId="1648"/>
    <cellStyle name="40% - Accent6 5 3 2 2" xfId="5178"/>
    <cellStyle name="40% - Accent6 5 3 2_Exh G" xfId="3387"/>
    <cellStyle name="40% - Accent6 5 3 3" xfId="4299"/>
    <cellStyle name="40% - Accent6 5 3_Exh G" xfId="3386"/>
    <cellStyle name="40% - Accent6 5 4" xfId="1001"/>
    <cellStyle name="40% - Accent6 5 5" xfId="1645"/>
    <cellStyle name="40% - Accent6 5 5 2" xfId="5175"/>
    <cellStyle name="40% - Accent6 5 5_Exh G" xfId="3388"/>
    <cellStyle name="40% - Accent6 5 6" xfId="4296"/>
    <cellStyle name="40% - Accent6 5_Exh G" xfId="3381"/>
    <cellStyle name="40% - Accent6 6" xfId="621"/>
    <cellStyle name="40% - Accent6 6 2" xfId="622"/>
    <cellStyle name="40% - Accent6 6 2 2" xfId="623"/>
    <cellStyle name="40% - Accent6 6 2 2 2" xfId="1651"/>
    <cellStyle name="40% - Accent6 6 2 2 2 2" xfId="5181"/>
    <cellStyle name="40% - Accent6 6 2 2 2_Exh G" xfId="3392"/>
    <cellStyle name="40% - Accent6 6 2 2 3" xfId="4302"/>
    <cellStyle name="40% - Accent6 6 2 2_Exh G" xfId="3391"/>
    <cellStyle name="40% - Accent6 6 2 3" xfId="1650"/>
    <cellStyle name="40% - Accent6 6 2 3 2" xfId="5180"/>
    <cellStyle name="40% - Accent6 6 2 3_Exh G" xfId="3393"/>
    <cellStyle name="40% - Accent6 6 2 4" xfId="4301"/>
    <cellStyle name="40% - Accent6 6 2_Exh G" xfId="3390"/>
    <cellStyle name="40% - Accent6 6 3" xfId="624"/>
    <cellStyle name="40% - Accent6 6 3 2" xfId="1652"/>
    <cellStyle name="40% - Accent6 6 3 2 2" xfId="5182"/>
    <cellStyle name="40% - Accent6 6 3 2_Exh G" xfId="3395"/>
    <cellStyle name="40% - Accent6 6 3 3" xfId="4303"/>
    <cellStyle name="40% - Accent6 6 3_Exh G" xfId="3394"/>
    <cellStyle name="40% - Accent6 6 4" xfId="1002"/>
    <cellStyle name="40% - Accent6 6 4 2" xfId="1915"/>
    <cellStyle name="40% - Accent6 6 4 2 2" xfId="5433"/>
    <cellStyle name="40% - Accent6 6 4 2_Exh G" xfId="3397"/>
    <cellStyle name="40% - Accent6 6 4 3" xfId="4554"/>
    <cellStyle name="40% - Accent6 6 4_Exh G" xfId="3396"/>
    <cellStyle name="40% - Accent6 6 5" xfId="1649"/>
    <cellStyle name="40% - Accent6 6 5 2" xfId="5179"/>
    <cellStyle name="40% - Accent6 6 5_Exh G" xfId="3398"/>
    <cellStyle name="40% - Accent6 6 6" xfId="4300"/>
    <cellStyle name="40% - Accent6 6_Exh G" xfId="3389"/>
    <cellStyle name="40% - Accent6 7" xfId="625"/>
    <cellStyle name="40% - Accent6 7 2" xfId="626"/>
    <cellStyle name="40% - Accent6 7 2 2" xfId="627"/>
    <cellStyle name="40% - Accent6 7 2 2 2" xfId="1655"/>
    <cellStyle name="40% - Accent6 7 2 2 2 2" xfId="5185"/>
    <cellStyle name="40% - Accent6 7 2 2 2_Exh G" xfId="3402"/>
    <cellStyle name="40% - Accent6 7 2 2 3" xfId="4306"/>
    <cellStyle name="40% - Accent6 7 2 2_Exh G" xfId="3401"/>
    <cellStyle name="40% - Accent6 7 2 3" xfId="1654"/>
    <cellStyle name="40% - Accent6 7 2 3 2" xfId="5184"/>
    <cellStyle name="40% - Accent6 7 2 3_Exh G" xfId="3403"/>
    <cellStyle name="40% - Accent6 7 2 4" xfId="4305"/>
    <cellStyle name="40% - Accent6 7 2_Exh G" xfId="3400"/>
    <cellStyle name="40% - Accent6 7 3" xfId="628"/>
    <cellStyle name="40% - Accent6 7 3 2" xfId="1656"/>
    <cellStyle name="40% - Accent6 7 3 2 2" xfId="5186"/>
    <cellStyle name="40% - Accent6 7 3 2_Exh G" xfId="3405"/>
    <cellStyle name="40% - Accent6 7 3 3" xfId="4307"/>
    <cellStyle name="40% - Accent6 7 3_Exh G" xfId="3404"/>
    <cellStyle name="40% - Accent6 7 4" xfId="1003"/>
    <cellStyle name="40% - Accent6 7 4 2" xfId="1916"/>
    <cellStyle name="40% - Accent6 7 4 2 2" xfId="5434"/>
    <cellStyle name="40% - Accent6 7 4 2_Exh G" xfId="3407"/>
    <cellStyle name="40% - Accent6 7 4 3" xfId="4555"/>
    <cellStyle name="40% - Accent6 7 4_Exh G" xfId="3406"/>
    <cellStyle name="40% - Accent6 7 5" xfId="1653"/>
    <cellStyle name="40% - Accent6 7 5 2" xfId="5183"/>
    <cellStyle name="40% - Accent6 7 5_Exh G" xfId="3408"/>
    <cellStyle name="40% - Accent6 7 6" xfId="4304"/>
    <cellStyle name="40% - Accent6 7_Exh G" xfId="3399"/>
    <cellStyle name="40% - Accent6 8" xfId="629"/>
    <cellStyle name="40% - Accent6 8 2" xfId="630"/>
    <cellStyle name="40% - Accent6 8 2 2" xfId="631"/>
    <cellStyle name="40% - Accent6 8 2 2 2" xfId="1659"/>
    <cellStyle name="40% - Accent6 8 2 2 2 2" xfId="5189"/>
    <cellStyle name="40% - Accent6 8 2 2 2_Exh G" xfId="3412"/>
    <cellStyle name="40% - Accent6 8 2 2 3" xfId="4310"/>
    <cellStyle name="40% - Accent6 8 2 2_Exh G" xfId="3411"/>
    <cellStyle name="40% - Accent6 8 2 3" xfId="1658"/>
    <cellStyle name="40% - Accent6 8 2 3 2" xfId="5188"/>
    <cellStyle name="40% - Accent6 8 2 3_Exh G" xfId="3413"/>
    <cellStyle name="40% - Accent6 8 2 4" xfId="4309"/>
    <cellStyle name="40% - Accent6 8 2_Exh G" xfId="3410"/>
    <cellStyle name="40% - Accent6 8 3" xfId="632"/>
    <cellStyle name="40% - Accent6 8 3 2" xfId="1660"/>
    <cellStyle name="40% - Accent6 8 3 2 2" xfId="5190"/>
    <cellStyle name="40% - Accent6 8 3 2_Exh G" xfId="3415"/>
    <cellStyle name="40% - Accent6 8 3 3" xfId="4311"/>
    <cellStyle name="40% - Accent6 8 3_Exh G" xfId="3414"/>
    <cellStyle name="40% - Accent6 8 4" xfId="1004"/>
    <cellStyle name="40% - Accent6 8 4 2" xfId="1917"/>
    <cellStyle name="40% - Accent6 8 4 2 2" xfId="5435"/>
    <cellStyle name="40% - Accent6 8 4 2_Exh G" xfId="3417"/>
    <cellStyle name="40% - Accent6 8 4 3" xfId="4556"/>
    <cellStyle name="40% - Accent6 8 4_Exh G" xfId="3416"/>
    <cellStyle name="40% - Accent6 8 5" xfId="1657"/>
    <cellStyle name="40% - Accent6 8 5 2" xfId="5187"/>
    <cellStyle name="40% - Accent6 8 5_Exh G" xfId="3418"/>
    <cellStyle name="40% - Accent6 8 6" xfId="4308"/>
    <cellStyle name="40% - Accent6 8_Exh G" xfId="3409"/>
    <cellStyle name="40% - Accent6 9" xfId="633"/>
    <cellStyle name="40% - Accent6 9 2" xfId="634"/>
    <cellStyle name="40% - Accent6 9 2 2" xfId="635"/>
    <cellStyle name="40% - Accent6 9 2 2 2" xfId="1663"/>
    <cellStyle name="40% - Accent6 9 2 2 2 2" xfId="5193"/>
    <cellStyle name="40% - Accent6 9 2 2 2_Exh G" xfId="3422"/>
    <cellStyle name="40% - Accent6 9 2 2 3" xfId="4314"/>
    <cellStyle name="40% - Accent6 9 2 2_Exh G" xfId="3421"/>
    <cellStyle name="40% - Accent6 9 2 3" xfId="1662"/>
    <cellStyle name="40% - Accent6 9 2 3 2" xfId="5192"/>
    <cellStyle name="40% - Accent6 9 2 3_Exh G" xfId="3423"/>
    <cellStyle name="40% - Accent6 9 2 4" xfId="4313"/>
    <cellStyle name="40% - Accent6 9 2_Exh G" xfId="3420"/>
    <cellStyle name="40% - Accent6 9 3" xfId="636"/>
    <cellStyle name="40% - Accent6 9 3 2" xfId="1664"/>
    <cellStyle name="40% - Accent6 9 3 2 2" xfId="5194"/>
    <cellStyle name="40% - Accent6 9 3 2_Exh G" xfId="3425"/>
    <cellStyle name="40% - Accent6 9 3 3" xfId="4315"/>
    <cellStyle name="40% - Accent6 9 3_Exh G" xfId="3424"/>
    <cellStyle name="40% - Accent6 9 4" xfId="1005"/>
    <cellStyle name="40% - Accent6 9 4 2" xfId="1918"/>
    <cellStyle name="40% - Accent6 9 4 2 2" xfId="5436"/>
    <cellStyle name="40% - Accent6 9 4 2_Exh G" xfId="3427"/>
    <cellStyle name="40% - Accent6 9 4 3" xfId="4557"/>
    <cellStyle name="40% - Accent6 9 4_Exh G" xfId="3426"/>
    <cellStyle name="40% - Accent6 9 5" xfId="1661"/>
    <cellStyle name="40% - Accent6 9 5 2" xfId="5191"/>
    <cellStyle name="40% - Accent6 9 5_Exh G" xfId="3428"/>
    <cellStyle name="40% - Accent6 9 6" xfId="4312"/>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4" xfId="783"/>
    <cellStyle name="Check Cell 2" xfId="784"/>
    <cellStyle name="Check Cell 3" xfId="785"/>
    <cellStyle name="Check Cell 4" xfId="786"/>
    <cellStyle name="Comma" xfId="5459" builtinId="3"/>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3" xfId="5"/>
    <cellStyle name="Comma 3 2" xfId="1008"/>
    <cellStyle name="Comma 3 2 2" xfId="1919"/>
    <cellStyle name="Comma 3 2 2 2" xfId="5437"/>
    <cellStyle name="Comma 3 2 3" xfId="4558"/>
    <cellStyle name="Comma 3 3" xfId="1046"/>
    <cellStyle name="Comma 4" xfId="9"/>
    <cellStyle name="Comma 4 2" xfId="1009"/>
    <cellStyle name="Comma 5" xfId="11"/>
    <cellStyle name="Comma 6" xfId="21"/>
    <cellStyle name="Comma 6 2" xfId="1051"/>
    <cellStyle name="Comma 6 2 2" xfId="4581"/>
    <cellStyle name="Comma 6 3" xfId="3702"/>
    <cellStyle name="Comma 7" xfId="24"/>
    <cellStyle name="Comma 8" xfId="832"/>
    <cellStyle name="Comma 8 2" xfId="1772"/>
    <cellStyle name="Comma 8 2 2" xfId="5300"/>
    <cellStyle name="Comma 8 3" xfId="4421"/>
    <cellStyle name="Comma 9" xfId="842"/>
    <cellStyle name="Comma 9 2" xfId="1781"/>
    <cellStyle name="Comma 9 2 2" xfId="5302"/>
    <cellStyle name="Comma 9 3" xfId="4423"/>
    <cellStyle name="Currency 2" xfId="6"/>
    <cellStyle name="Currency 2 2" xfId="1010"/>
    <cellStyle name="Currency 2 3" xfId="1047"/>
    <cellStyle name="Currency 3" xfId="738"/>
    <cellStyle name="Currency 3 2" xfId="1011"/>
    <cellStyle name="Currency 3 3" xfId="1766"/>
    <cellStyle name="Currency 3 3 2" xfId="5296"/>
    <cellStyle name="Currency 3 4" xfId="4417"/>
    <cellStyle name="Currency 4" xfId="856"/>
    <cellStyle name="Currency 4 2" xfId="1795"/>
    <cellStyle name="Currency 4 2 2" xfId="5316"/>
    <cellStyle name="Currency 4 3" xfId="4437"/>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4" xfId="807"/>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2" xfId="638"/>
    <cellStyle name="Normal 10 2 2" xfId="639"/>
    <cellStyle name="Normal 10 2 2 2" xfId="1667"/>
    <cellStyle name="Normal 10 2 2 2 2" xfId="5197"/>
    <cellStyle name="Normal 10 2 2 2_Exh G" xfId="3432"/>
    <cellStyle name="Normal 10 2 2 3" xfId="4318"/>
    <cellStyle name="Normal 10 2 2_Exh G" xfId="3431"/>
    <cellStyle name="Normal 10 2 3" xfId="1666"/>
    <cellStyle name="Normal 10 2 3 2" xfId="5196"/>
    <cellStyle name="Normal 10 2 3_Exh G" xfId="3433"/>
    <cellStyle name="Normal 10 2 4" xfId="4317"/>
    <cellStyle name="Normal 10 2_Exh G" xfId="3430"/>
    <cellStyle name="Normal 10 3" xfId="640"/>
    <cellStyle name="Normal 10 3 2" xfId="1668"/>
    <cellStyle name="Normal 10 3 2 2" xfId="5198"/>
    <cellStyle name="Normal 10 3 2_Exh G" xfId="3435"/>
    <cellStyle name="Normal 10 3 3" xfId="4319"/>
    <cellStyle name="Normal 10 3_Exh G" xfId="3434"/>
    <cellStyle name="Normal 10 4" xfId="1012"/>
    <cellStyle name="Normal 10 5" xfId="1665"/>
    <cellStyle name="Normal 10 5 2" xfId="5195"/>
    <cellStyle name="Normal 10 5_Exh G" xfId="3436"/>
    <cellStyle name="Normal 10 6" xfId="4316"/>
    <cellStyle name="Normal 10_Exh G" xfId="3429"/>
    <cellStyle name="Normal 11" xfId="641"/>
    <cellStyle name="Normal 11 2" xfId="642"/>
    <cellStyle name="Normal 11 2 2" xfId="643"/>
    <cellStyle name="Normal 11 2 2 2" xfId="1671"/>
    <cellStyle name="Normal 11 2 2 2 2" xfId="5201"/>
    <cellStyle name="Normal 11 2 2 2_Exh G" xfId="3440"/>
    <cellStyle name="Normal 11 2 2 3" xfId="4322"/>
    <cellStyle name="Normal 11 2 2_Exh G" xfId="3439"/>
    <cellStyle name="Normal 11 2 3" xfId="1670"/>
    <cellStyle name="Normal 11 2 3 2" xfId="5200"/>
    <cellStyle name="Normal 11 2 3_Exh G" xfId="3441"/>
    <cellStyle name="Normal 11 2 4" xfId="4321"/>
    <cellStyle name="Normal 11 2_Exh G" xfId="3438"/>
    <cellStyle name="Normal 11 3" xfId="644"/>
    <cellStyle name="Normal 11 3 2" xfId="1672"/>
    <cellStyle name="Normal 11 3 2 2" xfId="5202"/>
    <cellStyle name="Normal 11 3 2_Exh G" xfId="3443"/>
    <cellStyle name="Normal 11 3 3" xfId="4323"/>
    <cellStyle name="Normal 11 3_Exh G" xfId="3442"/>
    <cellStyle name="Normal 11 4" xfId="1013"/>
    <cellStyle name="Normal 11 4 2" xfId="1920"/>
    <cellStyle name="Normal 11 4 2 2" xfId="5438"/>
    <cellStyle name="Normal 11 4 2_Exh G" xfId="3445"/>
    <cellStyle name="Normal 11 4 3" xfId="4559"/>
    <cellStyle name="Normal 11 4_Exh G" xfId="3444"/>
    <cellStyle name="Normal 11 5" xfId="1669"/>
    <cellStyle name="Normal 11 5 2" xfId="5199"/>
    <cellStyle name="Normal 11 5_Exh G" xfId="3446"/>
    <cellStyle name="Normal 11 6" xfId="4320"/>
    <cellStyle name="Normal 11_Exh G" xfId="3437"/>
    <cellStyle name="Normal 12" xfId="645"/>
    <cellStyle name="Normal 12 2" xfId="646"/>
    <cellStyle name="Normal 12 2 2" xfId="647"/>
    <cellStyle name="Normal 12 2 2 2" xfId="1675"/>
    <cellStyle name="Normal 12 2 2 2 2" xfId="5205"/>
    <cellStyle name="Normal 12 2 2 2_Exh G" xfId="3450"/>
    <cellStyle name="Normal 12 2 2 3" xfId="4326"/>
    <cellStyle name="Normal 12 2 2_Exh G" xfId="3449"/>
    <cellStyle name="Normal 12 2 3" xfId="1674"/>
    <cellStyle name="Normal 12 2 3 2" xfId="5204"/>
    <cellStyle name="Normal 12 2 3_Exh G" xfId="3451"/>
    <cellStyle name="Normal 12 2 4" xfId="4325"/>
    <cellStyle name="Normal 12 2_Exh G" xfId="3448"/>
    <cellStyle name="Normal 12 3" xfId="648"/>
    <cellStyle name="Normal 12 3 2" xfId="1676"/>
    <cellStyle name="Normal 12 3 2 2" xfId="5206"/>
    <cellStyle name="Normal 12 3 2_Exh G" xfId="3453"/>
    <cellStyle name="Normal 12 3 3" xfId="4327"/>
    <cellStyle name="Normal 12 3_Exh G" xfId="3452"/>
    <cellStyle name="Normal 12 4" xfId="1014"/>
    <cellStyle name="Normal 12 4 2" xfId="1921"/>
    <cellStyle name="Normal 12 4 2 2" xfId="5439"/>
    <cellStyle name="Normal 12 4 2_Exh G" xfId="3455"/>
    <cellStyle name="Normal 12 4 3" xfId="4560"/>
    <cellStyle name="Normal 12 4_Exh G" xfId="3454"/>
    <cellStyle name="Normal 12 5" xfId="1673"/>
    <cellStyle name="Normal 12 5 2" xfId="5203"/>
    <cellStyle name="Normal 12 5_Exh G" xfId="3456"/>
    <cellStyle name="Normal 12 6" xfId="4324"/>
    <cellStyle name="Normal 12_Exh G" xfId="3447"/>
    <cellStyle name="Normal 13" xfId="649"/>
    <cellStyle name="Normal 13 2" xfId="650"/>
    <cellStyle name="Normal 13 2 2" xfId="651"/>
    <cellStyle name="Normal 13 2 2 2" xfId="1679"/>
    <cellStyle name="Normal 13 2 2 2 2" xfId="5209"/>
    <cellStyle name="Normal 13 2 2 2_Exh G" xfId="3460"/>
    <cellStyle name="Normal 13 2 2 3" xfId="4330"/>
    <cellStyle name="Normal 13 2 2_Exh G" xfId="3459"/>
    <cellStyle name="Normal 13 2 3" xfId="1678"/>
    <cellStyle name="Normal 13 2 3 2" xfId="5208"/>
    <cellStyle name="Normal 13 2 3_Exh G" xfId="3461"/>
    <cellStyle name="Normal 13 2 4" xfId="4329"/>
    <cellStyle name="Normal 13 2_Exh G" xfId="3458"/>
    <cellStyle name="Normal 13 3" xfId="652"/>
    <cellStyle name="Normal 13 3 2" xfId="1680"/>
    <cellStyle name="Normal 13 3 2 2" xfId="5210"/>
    <cellStyle name="Normal 13 3 2_Exh G" xfId="3463"/>
    <cellStyle name="Normal 13 3 3" xfId="4331"/>
    <cellStyle name="Normal 13 3_Exh G" xfId="3462"/>
    <cellStyle name="Normal 13 4" xfId="1015"/>
    <cellStyle name="Normal 13 4 2" xfId="1922"/>
    <cellStyle name="Normal 13 4 2 2" xfId="5440"/>
    <cellStyle name="Normal 13 4 2_Exh G" xfId="3465"/>
    <cellStyle name="Normal 13 4 3" xfId="4561"/>
    <cellStyle name="Normal 13 4_Exh G" xfId="3464"/>
    <cellStyle name="Normal 13 5" xfId="1677"/>
    <cellStyle name="Normal 13 5 2" xfId="5207"/>
    <cellStyle name="Normal 13 5_Exh G" xfId="3466"/>
    <cellStyle name="Normal 13 6" xfId="4328"/>
    <cellStyle name="Normal 13_Exh G" xfId="3457"/>
    <cellStyle name="Normal 14" xfId="653"/>
    <cellStyle name="Normal 14 2" xfId="654"/>
    <cellStyle name="Normal 14 2 2" xfId="655"/>
    <cellStyle name="Normal 14 2 2 2" xfId="1683"/>
    <cellStyle name="Normal 14 2 2 2 2" xfId="5213"/>
    <cellStyle name="Normal 14 2 2 2_Exh G" xfId="3470"/>
    <cellStyle name="Normal 14 2 2 3" xfId="4334"/>
    <cellStyle name="Normal 14 2 2_Exh G" xfId="3469"/>
    <cellStyle name="Normal 14 2 3" xfId="1682"/>
    <cellStyle name="Normal 14 2 3 2" xfId="5212"/>
    <cellStyle name="Normal 14 2 3_Exh G" xfId="3471"/>
    <cellStyle name="Normal 14 2 4" xfId="4333"/>
    <cellStyle name="Normal 14 2_Exh G" xfId="3468"/>
    <cellStyle name="Normal 14 3" xfId="656"/>
    <cellStyle name="Normal 14 3 2" xfId="1684"/>
    <cellStyle name="Normal 14 3 2 2" xfId="5214"/>
    <cellStyle name="Normal 14 3 2_Exh G" xfId="3473"/>
    <cellStyle name="Normal 14 3 3" xfId="4335"/>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_Exh G" xfId="3475"/>
    <cellStyle name="Normal 14 7" xfId="4332"/>
    <cellStyle name="Normal 14_Exh G" xfId="3467"/>
    <cellStyle name="Normal 15" xfId="657"/>
    <cellStyle name="Normal 15 2" xfId="658"/>
    <cellStyle name="Normal 15 2 2" xfId="659"/>
    <cellStyle name="Normal 15 2 2 2" xfId="1687"/>
    <cellStyle name="Normal 15 2 2 2 2" xfId="5217"/>
    <cellStyle name="Normal 15 2 2 2_Exh G" xfId="3479"/>
    <cellStyle name="Normal 15 2 2 3" xfId="4338"/>
    <cellStyle name="Normal 15 2 2_Exh G" xfId="3478"/>
    <cellStyle name="Normal 15 2 3" xfId="1686"/>
    <cellStyle name="Normal 15 2 3 2" xfId="5216"/>
    <cellStyle name="Normal 15 2 3_Exh G" xfId="3480"/>
    <cellStyle name="Normal 15 2 4" xfId="4337"/>
    <cellStyle name="Normal 15 2_Exh G" xfId="3477"/>
    <cellStyle name="Normal 15 3" xfId="660"/>
    <cellStyle name="Normal 15 3 2" xfId="1688"/>
    <cellStyle name="Normal 15 3 2 2" xfId="5218"/>
    <cellStyle name="Normal 15 3 2_Exh G" xfId="3482"/>
    <cellStyle name="Normal 15 3 3" xfId="4339"/>
    <cellStyle name="Normal 15 3_Exh G" xfId="3481"/>
    <cellStyle name="Normal 15 4" xfId="1685"/>
    <cellStyle name="Normal 15 4 2" xfId="5215"/>
    <cellStyle name="Normal 15 4_Exh G" xfId="3483"/>
    <cellStyle name="Normal 15 5" xfId="4336"/>
    <cellStyle name="Normal 15_Exh G" xfId="3476"/>
    <cellStyle name="Normal 16" xfId="661"/>
    <cellStyle name="Normal 16 2" xfId="662"/>
    <cellStyle name="Normal 16 2 2" xfId="663"/>
    <cellStyle name="Normal 16 2 2 2" xfId="1691"/>
    <cellStyle name="Normal 16 2 2 2 2" xfId="5221"/>
    <cellStyle name="Normal 16 2 2 2_Exh G" xfId="3487"/>
    <cellStyle name="Normal 16 2 2 3" xfId="4342"/>
    <cellStyle name="Normal 16 2 2_Exh G" xfId="3486"/>
    <cellStyle name="Normal 16 2 3" xfId="1690"/>
    <cellStyle name="Normal 16 2 3 2" xfId="5220"/>
    <cellStyle name="Normal 16 2 3_Exh G" xfId="3488"/>
    <cellStyle name="Normal 16 2 4" xfId="4341"/>
    <cellStyle name="Normal 16 2_Exh G" xfId="3485"/>
    <cellStyle name="Normal 16 3" xfId="664"/>
    <cellStyle name="Normal 16 3 2" xfId="1692"/>
    <cellStyle name="Normal 16 3 2 2" xfId="5222"/>
    <cellStyle name="Normal 16 3 2_Exh G" xfId="3490"/>
    <cellStyle name="Normal 16 3 3" xfId="4343"/>
    <cellStyle name="Normal 16 3_Exh G" xfId="3489"/>
    <cellStyle name="Normal 16 4" xfId="1689"/>
    <cellStyle name="Normal 16 4 2" xfId="5219"/>
    <cellStyle name="Normal 16 4_Exh G" xfId="3491"/>
    <cellStyle name="Normal 16 5" xfId="4340"/>
    <cellStyle name="Normal 16_Exh G" xfId="3484"/>
    <cellStyle name="Normal 17" xfId="665"/>
    <cellStyle name="Normal 17 2" xfId="1693"/>
    <cellStyle name="Normal 17 2 2" xfId="5223"/>
    <cellStyle name="Normal 17 2_Exh G" xfId="3493"/>
    <cellStyle name="Normal 17 3" xfId="4344"/>
    <cellStyle name="Normal 17_Exh G" xfId="3492"/>
    <cellStyle name="Normal 18" xfId="739"/>
    <cellStyle name="Normal 19" xfId="827"/>
    <cellStyle name="Normal 19 2" xfId="1769"/>
    <cellStyle name="Normal 19 2 2" xfId="5298"/>
    <cellStyle name="Normal 19 2_Exh G" xfId="3495"/>
    <cellStyle name="Normal 19 3" xfId="4419"/>
    <cellStyle name="Normal 19_Exh G" xfId="3494"/>
    <cellStyle name="Normal 2" xfId="2"/>
    <cellStyle name="Normal 2 2" xfId="18"/>
    <cellStyle name="Normal 2 2 2" xfId="666"/>
    <cellStyle name="Normal 2 2 2 2" xfId="1694"/>
    <cellStyle name="Normal 2 2 2 2 2" xfId="5224"/>
    <cellStyle name="Normal 2 2 2 2_Exh G" xfId="3498"/>
    <cellStyle name="Normal 2 2 2 3" xfId="4345"/>
    <cellStyle name="Normal 2 2 2_Exh G" xfId="3497"/>
    <cellStyle name="Normal 2 2 3" xfId="1049"/>
    <cellStyle name="Normal 2 2 4" xfId="3700"/>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_Exh G" xfId="3501"/>
    <cellStyle name="Normal 2 3 4" xfId="4346"/>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2" xfId="1771"/>
    <cellStyle name="Normal 22 2 2" xfId="5299"/>
    <cellStyle name="Normal 22 2_Exh G" xfId="3509"/>
    <cellStyle name="Normal 22 3" xfId="4420"/>
    <cellStyle name="Normal 22_Exh G" xfId="3508"/>
    <cellStyle name="Normal 23" xfId="840"/>
    <cellStyle name="Normal 24" xfId="841"/>
    <cellStyle name="Normal 24 2" xfId="1780"/>
    <cellStyle name="Normal 24 2 2" xfId="5301"/>
    <cellStyle name="Normal 24 2_Exh G" xfId="3511"/>
    <cellStyle name="Normal 24 3" xfId="4422"/>
    <cellStyle name="Normal 24_Exh G" xfId="3510"/>
    <cellStyle name="Normal 25" xfId="860"/>
    <cellStyle name="Normal 26" xfId="1042"/>
    <cellStyle name="Normal 26 2" xfId="4579"/>
    <cellStyle name="Normal 26_Exh G" xfId="3512"/>
    <cellStyle name="Normal 27" xfId="1041"/>
    <cellStyle name="Normal 28" xfId="5458"/>
    <cellStyle name="Normal 3" xfId="3"/>
    <cellStyle name="Normal 3 2" xfId="668"/>
    <cellStyle name="Normal 3 2 2" xfId="669"/>
    <cellStyle name="Normal 3 2 2 2" xfId="1697"/>
    <cellStyle name="Normal 3 2 2 2 2" xfId="5227"/>
    <cellStyle name="Normal 3 2 2 2_Exh G" xfId="3515"/>
    <cellStyle name="Normal 3 2 2 3" xfId="4348"/>
    <cellStyle name="Normal 3 2 2_Exh G" xfId="3514"/>
    <cellStyle name="Normal 3 2 3" xfId="1019"/>
    <cellStyle name="Normal 3 2 3 2" xfId="1924"/>
    <cellStyle name="Normal 3 2 3 2 2" xfId="5442"/>
    <cellStyle name="Normal 3 2 3 2_Exh G" xfId="3517"/>
    <cellStyle name="Normal 3 2 3 3" xfId="4563"/>
    <cellStyle name="Normal 3 2 3_Exh G" xfId="3516"/>
    <cellStyle name="Normal 3 2 4" xfId="1696"/>
    <cellStyle name="Normal 3 2 4 2" xfId="5226"/>
    <cellStyle name="Normal 3 2 4_Exh G" xfId="3518"/>
    <cellStyle name="Normal 3 2 5" xfId="4347"/>
    <cellStyle name="Normal 3 2_Exh G" xfId="3513"/>
    <cellStyle name="Normal 3 3" xfId="670"/>
    <cellStyle name="Normal 3 3 2" xfId="1698"/>
    <cellStyle name="Normal 3 3 2 2" xfId="5228"/>
    <cellStyle name="Normal 3 3 2_Exh G" xfId="3520"/>
    <cellStyle name="Normal 3 3 3" xfId="4349"/>
    <cellStyle name="Normal 3 3_Exh G" xfId="3519"/>
    <cellStyle name="Normal 3 4" xfId="1018"/>
    <cellStyle name="Normal 3 4 2" xfId="1923"/>
    <cellStyle name="Normal 3 4 2 2" xfId="5441"/>
    <cellStyle name="Normal 3 4 2_Exh G" xfId="3522"/>
    <cellStyle name="Normal 3 4 3" xfId="4562"/>
    <cellStyle name="Normal 3 4_Exh G" xfId="3521"/>
    <cellStyle name="Normal 4" xfId="4"/>
    <cellStyle name="Normal 4 2" xfId="671"/>
    <cellStyle name="Normal 4 2 2" xfId="672"/>
    <cellStyle name="Normal 4 2 2 2" xfId="1700"/>
    <cellStyle name="Normal 4 2 2 2 2" xfId="5230"/>
    <cellStyle name="Normal 4 2 2 2_Exh G" xfId="3526"/>
    <cellStyle name="Normal 4 2 2 3" xfId="4351"/>
    <cellStyle name="Normal 4 2 2_Exh G" xfId="3525"/>
    <cellStyle name="Normal 4 2 3" xfId="1021"/>
    <cellStyle name="Normal 4 2 3 2" xfId="1926"/>
    <cellStyle name="Normal 4 2 3 2 2" xfId="5444"/>
    <cellStyle name="Normal 4 2 3 2_Exh G" xfId="3528"/>
    <cellStyle name="Normal 4 2 3 3" xfId="4565"/>
    <cellStyle name="Normal 4 2 3_Exh G" xfId="3527"/>
    <cellStyle name="Normal 4 2 4" xfId="1699"/>
    <cellStyle name="Normal 4 2 4 2" xfId="5229"/>
    <cellStyle name="Normal 4 2 4_Exh G" xfId="3529"/>
    <cellStyle name="Normal 4 2 5" xfId="4350"/>
    <cellStyle name="Normal 4 2_Exh G" xfId="3524"/>
    <cellStyle name="Normal 4 3" xfId="673"/>
    <cellStyle name="Normal 4 3 2" xfId="1701"/>
    <cellStyle name="Normal 4 3 2 2" xfId="5231"/>
    <cellStyle name="Normal 4 3 2_Exh G" xfId="3531"/>
    <cellStyle name="Normal 4 3 3" xfId="4352"/>
    <cellStyle name="Normal 4 3_Exh G" xfId="3530"/>
    <cellStyle name="Normal 4 4" xfId="1020"/>
    <cellStyle name="Normal 4 4 2" xfId="1925"/>
    <cellStyle name="Normal 4 4 2 2" xfId="5443"/>
    <cellStyle name="Normal 4 4 2_Exh G" xfId="3533"/>
    <cellStyle name="Normal 4 4 3" xfId="4564"/>
    <cellStyle name="Normal 4 4_Exh G" xfId="3532"/>
    <cellStyle name="Normal 4 5" xfId="1045"/>
    <cellStyle name="Normal 4 6" xfId="3698"/>
    <cellStyle name="Normal 4_Exh G" xfId="3523"/>
    <cellStyle name="Normal 5" xfId="8"/>
    <cellStyle name="Normal 5 2" xfId="814"/>
    <cellStyle name="Normal 5 2 2" xfId="1023"/>
    <cellStyle name="Normal 5 2 2 2" xfId="1928"/>
    <cellStyle name="Normal 5 2 2 2 2" xfId="5446"/>
    <cellStyle name="Normal 5 2 2 2_Exh G" xfId="3536"/>
    <cellStyle name="Normal 5 2 2 3" xfId="4567"/>
    <cellStyle name="Normal 5 2 2_Exh G" xfId="3535"/>
    <cellStyle name="Normal 5 2 3" xfId="1768"/>
    <cellStyle name="Normal 5 2 3 2" xfId="5297"/>
    <cellStyle name="Normal 5 2 3_Exh G" xfId="3537"/>
    <cellStyle name="Normal 5 2 4" xfId="4418"/>
    <cellStyle name="Normal 5 2_Exh G" xfId="3534"/>
    <cellStyle name="Normal 5 3" xfId="1022"/>
    <cellStyle name="Normal 5 3 2" xfId="1927"/>
    <cellStyle name="Normal 5 3 2 2" xfId="5445"/>
    <cellStyle name="Normal 5 3 2_Exh G" xfId="3539"/>
    <cellStyle name="Normal 5 3 3" xfId="4566"/>
    <cellStyle name="Normal 5 3_Exh G" xfId="3538"/>
    <cellStyle name="Normal 6" xfId="10"/>
    <cellStyle name="Normal 6 2" xfId="674"/>
    <cellStyle name="Normal 6 2 2" xfId="675"/>
    <cellStyle name="Normal 6 2 2 2" xfId="1703"/>
    <cellStyle name="Normal 6 2 2 2 2" xfId="5233"/>
    <cellStyle name="Normal 6 2 2 2_Exh G" xfId="3542"/>
    <cellStyle name="Normal 6 2 2 3" xfId="4354"/>
    <cellStyle name="Normal 6 2 2_Exh G" xfId="3541"/>
    <cellStyle name="Normal 6 2 3" xfId="1702"/>
    <cellStyle name="Normal 6 2 3 2" xfId="5232"/>
    <cellStyle name="Normal 6 2 3_Exh G" xfId="3543"/>
    <cellStyle name="Normal 6 2 4" xfId="4353"/>
    <cellStyle name="Normal 6 2_Exh G" xfId="3540"/>
    <cellStyle name="Normal 6 3" xfId="676"/>
    <cellStyle name="Normal 6 3 2" xfId="1704"/>
    <cellStyle name="Normal 6 3 2 2" xfId="5234"/>
    <cellStyle name="Normal 6 3 2_Exh G" xfId="3545"/>
    <cellStyle name="Normal 6 3 3" xfId="4355"/>
    <cellStyle name="Normal 6 3_Exh G" xfId="3544"/>
    <cellStyle name="Normal 6 4" xfId="1024"/>
    <cellStyle name="Normal 7" xfId="17"/>
    <cellStyle name="Normal 7 2" xfId="677"/>
    <cellStyle name="Normal 7 2 2" xfId="678"/>
    <cellStyle name="Normal 7 2 2 2" xfId="1706"/>
    <cellStyle name="Normal 7 2 2 2 2" xfId="5236"/>
    <cellStyle name="Normal 7 2 2 2_Exh G" xfId="3548"/>
    <cellStyle name="Normal 7 2 2 3" xfId="4357"/>
    <cellStyle name="Normal 7 2 2_Exh G" xfId="3547"/>
    <cellStyle name="Normal 7 2 3" xfId="1705"/>
    <cellStyle name="Normal 7 2 3 2" xfId="5235"/>
    <cellStyle name="Normal 7 2 3_Exh G" xfId="3549"/>
    <cellStyle name="Normal 7 2 4" xfId="4356"/>
    <cellStyle name="Normal 7 2_Exh G" xfId="3546"/>
    <cellStyle name="Normal 7 3" xfId="679"/>
    <cellStyle name="Normal 7 3 2" xfId="1707"/>
    <cellStyle name="Normal 7 3 2 2" xfId="5237"/>
    <cellStyle name="Normal 7 3 2_Exh G" xfId="3551"/>
    <cellStyle name="Normal 7 3 3" xfId="4358"/>
    <cellStyle name="Normal 7 3_Exh G" xfId="3550"/>
    <cellStyle name="Normal 7 4" xfId="1025"/>
    <cellStyle name="Normal 8" xfId="20"/>
    <cellStyle name="Normal 8 2" xfId="680"/>
    <cellStyle name="Normal 8 2 2" xfId="681"/>
    <cellStyle name="Normal 8 2 2 2" xfId="1709"/>
    <cellStyle name="Normal 8 2 2 2 2" xfId="5239"/>
    <cellStyle name="Normal 8 2 2 2_Exh G" xfId="3555"/>
    <cellStyle name="Normal 8 2 2 3" xfId="4360"/>
    <cellStyle name="Normal 8 2 2_Exh G" xfId="3554"/>
    <cellStyle name="Normal 8 2 3" xfId="1708"/>
    <cellStyle name="Normal 8 2 3 2" xfId="5238"/>
    <cellStyle name="Normal 8 2 3_Exh G" xfId="3556"/>
    <cellStyle name="Normal 8 2 4" xfId="4359"/>
    <cellStyle name="Normal 8 2_Exh G" xfId="3553"/>
    <cellStyle name="Normal 8 3" xfId="682"/>
    <cellStyle name="Normal 8 3 2" xfId="1710"/>
    <cellStyle name="Normal 8 3 2 2" xfId="5240"/>
    <cellStyle name="Normal 8 3 2_Exh G" xfId="3558"/>
    <cellStyle name="Normal 8 3 3" xfId="4361"/>
    <cellStyle name="Normal 8 3_Exh G" xfId="3557"/>
    <cellStyle name="Normal 8 4" xfId="1026"/>
    <cellStyle name="Normal 8 5" xfId="1050"/>
    <cellStyle name="Normal 8 5 2" xfId="4580"/>
    <cellStyle name="Normal 8 5_Exh G" xfId="3559"/>
    <cellStyle name="Normal 8 6" xfId="3701"/>
    <cellStyle name="Normal 8_Exh G" xfId="3552"/>
    <cellStyle name="Normal 9" xfId="23"/>
    <cellStyle name="Normal 9 2" xfId="683"/>
    <cellStyle name="Normal 9 2 2" xfId="684"/>
    <cellStyle name="Normal 9 2 2 2" xfId="1712"/>
    <cellStyle name="Normal 9 2 2 2 2" xfId="5242"/>
    <cellStyle name="Normal 9 2 2 2_Exh G" xfId="3563"/>
    <cellStyle name="Normal 9 2 2 3" xfId="4363"/>
    <cellStyle name="Normal 9 2 2_Exh G" xfId="3562"/>
    <cellStyle name="Normal 9 2 3" xfId="1711"/>
    <cellStyle name="Normal 9 2 3 2" xfId="5241"/>
    <cellStyle name="Normal 9 2 3_Exh G" xfId="3564"/>
    <cellStyle name="Normal 9 2 4" xfId="4362"/>
    <cellStyle name="Normal 9 2_Exh G" xfId="3561"/>
    <cellStyle name="Normal 9 3" xfId="685"/>
    <cellStyle name="Normal 9 3 2" xfId="1713"/>
    <cellStyle name="Normal 9 3 2 2" xfId="5243"/>
    <cellStyle name="Normal 9 3 2_Exh G" xfId="3566"/>
    <cellStyle name="Normal 9 3 3" xfId="4364"/>
    <cellStyle name="Normal 9 3_Exh G" xfId="3565"/>
    <cellStyle name="Normal 9 4" xfId="1027"/>
    <cellStyle name="Normal 9 4 2" xfId="1929"/>
    <cellStyle name="Normal 9 4 2 2" xfId="5447"/>
    <cellStyle name="Normal 9 4 2_Exh G" xfId="3568"/>
    <cellStyle name="Normal 9 4 3" xfId="4568"/>
    <cellStyle name="Normal 9 4_Exh G" xfId="3567"/>
    <cellStyle name="Normal 9_Exh G" xfId="3560"/>
    <cellStyle name="Normal_Appendix G 11 FEBRUARY 10 temploan no 303 ver2 2" xfId="1028"/>
    <cellStyle name="Normal_ExhibitF_05-06" xfId="19"/>
    <cellStyle name="Note 10" xfId="686"/>
    <cellStyle name="Note 10 2" xfId="687"/>
    <cellStyle name="Note 10 2 2" xfId="688"/>
    <cellStyle name="Note 10 2 2 2" xfId="1716"/>
    <cellStyle name="Note 10 2 2 2 2" xfId="5246"/>
    <cellStyle name="Note 10 2 2 2_Exh G" xfId="3572"/>
    <cellStyle name="Note 10 2 2 3" xfId="4367"/>
    <cellStyle name="Note 10 2 2_Exh G" xfId="3571"/>
    <cellStyle name="Note 10 2 3" xfId="1715"/>
    <cellStyle name="Note 10 2 3 2" xfId="5245"/>
    <cellStyle name="Note 10 2 3_Exh G" xfId="3573"/>
    <cellStyle name="Note 10 2 4" xfId="4366"/>
    <cellStyle name="Note 10 2_Exh G" xfId="3570"/>
    <cellStyle name="Note 10 3" xfId="689"/>
    <cellStyle name="Note 10 3 2" xfId="1717"/>
    <cellStyle name="Note 10 3 2 2" xfId="5247"/>
    <cellStyle name="Note 10 3 2_Exh G" xfId="3575"/>
    <cellStyle name="Note 10 3 3" xfId="4368"/>
    <cellStyle name="Note 10 3_Exh G" xfId="3574"/>
    <cellStyle name="Note 10 4" xfId="1029"/>
    <cellStyle name="Note 10 5" xfId="1714"/>
    <cellStyle name="Note 10 5 2" xfId="5244"/>
    <cellStyle name="Note 10 5_Exh G" xfId="3576"/>
    <cellStyle name="Note 10 6" xfId="4365"/>
    <cellStyle name="Note 10_Exh G" xfId="3569"/>
    <cellStyle name="Note 11" xfId="690"/>
    <cellStyle name="Note 11 2" xfId="691"/>
    <cellStyle name="Note 11 2 2" xfId="692"/>
    <cellStyle name="Note 11 2 2 2" xfId="1720"/>
    <cellStyle name="Note 11 2 2 2 2" xfId="5250"/>
    <cellStyle name="Note 11 2 2 2_Exh G" xfId="3580"/>
    <cellStyle name="Note 11 2 2 3" xfId="4371"/>
    <cellStyle name="Note 11 2 2_Exh G" xfId="3579"/>
    <cellStyle name="Note 11 2 3" xfId="1719"/>
    <cellStyle name="Note 11 2 3 2" xfId="5249"/>
    <cellStyle name="Note 11 2 3_Exh G" xfId="3581"/>
    <cellStyle name="Note 11 2 4" xfId="4370"/>
    <cellStyle name="Note 11 2_Exh G" xfId="3578"/>
    <cellStyle name="Note 11 3" xfId="693"/>
    <cellStyle name="Note 11 3 2" xfId="1721"/>
    <cellStyle name="Note 11 3 2 2" xfId="5251"/>
    <cellStyle name="Note 11 3 2_Exh G" xfId="3583"/>
    <cellStyle name="Note 11 3 3" xfId="4372"/>
    <cellStyle name="Note 11 3_Exh G" xfId="3582"/>
    <cellStyle name="Note 11 4" xfId="1718"/>
    <cellStyle name="Note 11 4 2" xfId="5248"/>
    <cellStyle name="Note 11 4_Exh G" xfId="3584"/>
    <cellStyle name="Note 11 5" xfId="4369"/>
    <cellStyle name="Note 11_Exh G" xfId="3577"/>
    <cellStyle name="Note 12" xfId="694"/>
    <cellStyle name="Note 12 2" xfId="695"/>
    <cellStyle name="Note 12 2 2" xfId="696"/>
    <cellStyle name="Note 12 2 2 2" xfId="1724"/>
    <cellStyle name="Note 12 2 2 2 2" xfId="5254"/>
    <cellStyle name="Note 12 2 2 2_Exh G" xfId="3588"/>
    <cellStyle name="Note 12 2 2 3" xfId="4375"/>
    <cellStyle name="Note 12 2 2_Exh G" xfId="3587"/>
    <cellStyle name="Note 12 2 3" xfId="1723"/>
    <cellStyle name="Note 12 2 3 2" xfId="5253"/>
    <cellStyle name="Note 12 2 3_Exh G" xfId="3589"/>
    <cellStyle name="Note 12 2 4" xfId="4374"/>
    <cellStyle name="Note 12 2_Exh G" xfId="3586"/>
    <cellStyle name="Note 12 3" xfId="697"/>
    <cellStyle name="Note 12 3 2" xfId="1725"/>
    <cellStyle name="Note 12 3 2 2" xfId="5255"/>
    <cellStyle name="Note 12 3 2_Exh G" xfId="3591"/>
    <cellStyle name="Note 12 3 3" xfId="4376"/>
    <cellStyle name="Note 12 3_Exh G" xfId="3590"/>
    <cellStyle name="Note 12 4" xfId="1722"/>
    <cellStyle name="Note 12 4 2" xfId="5252"/>
    <cellStyle name="Note 12 4_Exh G" xfId="3592"/>
    <cellStyle name="Note 12 5" xfId="4373"/>
    <cellStyle name="Note 12_Exh G" xfId="3585"/>
    <cellStyle name="Note 13" xfId="698"/>
    <cellStyle name="Note 13 2" xfId="699"/>
    <cellStyle name="Note 13 2 2" xfId="700"/>
    <cellStyle name="Note 13 2 2 2" xfId="1728"/>
    <cellStyle name="Note 13 2 2 2 2" xfId="5258"/>
    <cellStyle name="Note 13 2 2 2_Exh G" xfId="3596"/>
    <cellStyle name="Note 13 2 2 3" xfId="4379"/>
    <cellStyle name="Note 13 2 2_Exh G" xfId="3595"/>
    <cellStyle name="Note 13 2 3" xfId="1727"/>
    <cellStyle name="Note 13 2 3 2" xfId="5257"/>
    <cellStyle name="Note 13 2 3_Exh G" xfId="3597"/>
    <cellStyle name="Note 13 2 4" xfId="4378"/>
    <cellStyle name="Note 13 2_Exh G" xfId="3594"/>
    <cellStyle name="Note 13 3" xfId="701"/>
    <cellStyle name="Note 13 3 2" xfId="1729"/>
    <cellStyle name="Note 13 3 2 2" xfId="5259"/>
    <cellStyle name="Note 13 3 2_Exh G" xfId="3599"/>
    <cellStyle name="Note 13 3 3" xfId="4380"/>
    <cellStyle name="Note 13 3_Exh G" xfId="3598"/>
    <cellStyle name="Note 13 4" xfId="1726"/>
    <cellStyle name="Note 13 4 2" xfId="5256"/>
    <cellStyle name="Note 13 4_Exh G" xfId="3600"/>
    <cellStyle name="Note 13 5" xfId="4377"/>
    <cellStyle name="Note 13_Exh G" xfId="3593"/>
    <cellStyle name="Note 14" xfId="702"/>
    <cellStyle name="Note 14 2" xfId="703"/>
    <cellStyle name="Note 14 2 2" xfId="704"/>
    <cellStyle name="Note 14 2 2 2" xfId="1732"/>
    <cellStyle name="Note 14 2 2 2 2" xfId="5262"/>
    <cellStyle name="Note 14 2 2 2_Exh G" xfId="3604"/>
    <cellStyle name="Note 14 2 2 3" xfId="4383"/>
    <cellStyle name="Note 14 2 2_Exh G" xfId="3603"/>
    <cellStyle name="Note 14 2 3" xfId="1731"/>
    <cellStyle name="Note 14 2 3 2" xfId="5261"/>
    <cellStyle name="Note 14 2 3_Exh G" xfId="3605"/>
    <cellStyle name="Note 14 2 4" xfId="4382"/>
    <cellStyle name="Note 14 2_Exh G" xfId="3602"/>
    <cellStyle name="Note 14 3" xfId="705"/>
    <cellStyle name="Note 14 3 2" xfId="1733"/>
    <cellStyle name="Note 14 3 2 2" xfId="5263"/>
    <cellStyle name="Note 14 3 2_Exh G" xfId="3607"/>
    <cellStyle name="Note 14 3 3" xfId="4384"/>
    <cellStyle name="Note 14 3_Exh G" xfId="3606"/>
    <cellStyle name="Note 14 4" xfId="1730"/>
    <cellStyle name="Note 14 4 2" xfId="5260"/>
    <cellStyle name="Note 14 4_Exh G" xfId="3608"/>
    <cellStyle name="Note 14 5" xfId="4381"/>
    <cellStyle name="Note 14_Exh G" xfId="3601"/>
    <cellStyle name="Note 15" xfId="706"/>
    <cellStyle name="Note 15 2" xfId="1734"/>
    <cellStyle name="Note 15 2 2" xfId="5264"/>
    <cellStyle name="Note 15 2_Exh G" xfId="3610"/>
    <cellStyle name="Note 15 3" xfId="4385"/>
    <cellStyle name="Note 15_Exh G" xfId="3609"/>
    <cellStyle name="Note 16" xfId="855"/>
    <cellStyle name="Note 16 2" xfId="1794"/>
    <cellStyle name="Note 16 2 2" xfId="5315"/>
    <cellStyle name="Note 16 2_Exh G" xfId="3612"/>
    <cellStyle name="Note 16 3" xfId="4436"/>
    <cellStyle name="Note 16_Exh G" xfId="3611"/>
    <cellStyle name="Note 2" xfId="22"/>
    <cellStyle name="Note 2 2" xfId="707"/>
    <cellStyle name="Note 2 2 2" xfId="708"/>
    <cellStyle name="Note 2 2 2 2" xfId="1736"/>
    <cellStyle name="Note 2 2 2 2 2" xfId="5266"/>
    <cellStyle name="Note 2 2 2 2_Exh G" xfId="3616"/>
    <cellStyle name="Note 2 2 2 3" xfId="4387"/>
    <cellStyle name="Note 2 2 2_Exh G" xfId="3615"/>
    <cellStyle name="Note 2 2 3" xfId="1031"/>
    <cellStyle name="Note 2 2 3 2" xfId="1931"/>
    <cellStyle name="Note 2 2 3 2 2" xfId="5449"/>
    <cellStyle name="Note 2 2 3 2_Exh G" xfId="3618"/>
    <cellStyle name="Note 2 2 3 3" xfId="4570"/>
    <cellStyle name="Note 2 2 3_Exh G" xfId="3617"/>
    <cellStyle name="Note 2 2 4" xfId="1735"/>
    <cellStyle name="Note 2 2 4 2" xfId="5265"/>
    <cellStyle name="Note 2 2 4_Exh G" xfId="3619"/>
    <cellStyle name="Note 2 2 5" xfId="4386"/>
    <cellStyle name="Note 2 2_Exh G" xfId="3614"/>
    <cellStyle name="Note 2 3" xfId="709"/>
    <cellStyle name="Note 2 3 2" xfId="1737"/>
    <cellStyle name="Note 2 3 2 2" xfId="5267"/>
    <cellStyle name="Note 2 3 2_Exh G" xfId="3621"/>
    <cellStyle name="Note 2 3 3" xfId="4388"/>
    <cellStyle name="Note 2 3_Exh G" xfId="3620"/>
    <cellStyle name="Note 2 4" xfId="1030"/>
    <cellStyle name="Note 2 4 2" xfId="1930"/>
    <cellStyle name="Note 2 4 2 2" xfId="5448"/>
    <cellStyle name="Note 2 4 2_Exh G" xfId="3623"/>
    <cellStyle name="Note 2 4 3" xfId="4569"/>
    <cellStyle name="Note 2 4_Exh G" xfId="3622"/>
    <cellStyle name="Note 2 5" xfId="1052"/>
    <cellStyle name="Note 2 5 2" xfId="4582"/>
    <cellStyle name="Note 2 5_Exh G" xfId="3624"/>
    <cellStyle name="Note 2 6" xfId="3703"/>
    <cellStyle name="Note 2_Exh G" xfId="3613"/>
    <cellStyle name="Note 3" xfId="710"/>
    <cellStyle name="Note 3 2" xfId="711"/>
    <cellStyle name="Note 3 2 2" xfId="712"/>
    <cellStyle name="Note 3 2 2 2" xfId="1740"/>
    <cellStyle name="Note 3 2 2 2 2" xfId="5270"/>
    <cellStyle name="Note 3 2 2 2_Exh G" xfId="3628"/>
    <cellStyle name="Note 3 2 2 3" xfId="4391"/>
    <cellStyle name="Note 3 2 2_Exh G" xfId="3627"/>
    <cellStyle name="Note 3 2 3" xfId="1033"/>
    <cellStyle name="Note 3 2 3 2" xfId="1933"/>
    <cellStyle name="Note 3 2 3 2 2" xfId="5451"/>
    <cellStyle name="Note 3 2 3 2_Exh G" xfId="3630"/>
    <cellStyle name="Note 3 2 3 3" xfId="4572"/>
    <cellStyle name="Note 3 2 3_Exh G" xfId="3629"/>
    <cellStyle name="Note 3 2 4" xfId="1739"/>
    <cellStyle name="Note 3 2 4 2" xfId="5269"/>
    <cellStyle name="Note 3 2 4_Exh G" xfId="3631"/>
    <cellStyle name="Note 3 2 5" xfId="4390"/>
    <cellStyle name="Note 3 2_Exh G" xfId="3626"/>
    <cellStyle name="Note 3 3" xfId="713"/>
    <cellStyle name="Note 3 3 2" xfId="1741"/>
    <cellStyle name="Note 3 3 2 2" xfId="5271"/>
    <cellStyle name="Note 3 3 2_Exh G" xfId="3633"/>
    <cellStyle name="Note 3 3 3" xfId="4392"/>
    <cellStyle name="Note 3 3_Exh G" xfId="3632"/>
    <cellStyle name="Note 3 4" xfId="1032"/>
    <cellStyle name="Note 3 4 2" xfId="1932"/>
    <cellStyle name="Note 3 4 2 2" xfId="5450"/>
    <cellStyle name="Note 3 4 2_Exh G" xfId="3635"/>
    <cellStyle name="Note 3 4 3" xfId="4571"/>
    <cellStyle name="Note 3 4_Exh G" xfId="3634"/>
    <cellStyle name="Note 3 5" xfId="1738"/>
    <cellStyle name="Note 3 5 2" xfId="5268"/>
    <cellStyle name="Note 3 5_Exh G" xfId="3636"/>
    <cellStyle name="Note 3 6" xfId="4389"/>
    <cellStyle name="Note 3_Exh G" xfId="3625"/>
    <cellStyle name="Note 4" xfId="714"/>
    <cellStyle name="Note 4 2" xfId="715"/>
    <cellStyle name="Note 4 2 2" xfId="716"/>
    <cellStyle name="Note 4 2 2 2" xfId="1744"/>
    <cellStyle name="Note 4 2 2 2 2" xfId="5274"/>
    <cellStyle name="Note 4 2 2 2_Exh G" xfId="3640"/>
    <cellStyle name="Note 4 2 2 3" xfId="4395"/>
    <cellStyle name="Note 4 2 2_Exh G" xfId="3639"/>
    <cellStyle name="Note 4 2 3" xfId="1035"/>
    <cellStyle name="Note 4 2 3 2" xfId="1935"/>
    <cellStyle name="Note 4 2 3 2 2" xfId="5453"/>
    <cellStyle name="Note 4 2 3 2_Exh G" xfId="3642"/>
    <cellStyle name="Note 4 2 3 3" xfId="4574"/>
    <cellStyle name="Note 4 2 3_Exh G" xfId="3641"/>
    <cellStyle name="Note 4 2 4" xfId="1743"/>
    <cellStyle name="Note 4 2 4 2" xfId="5273"/>
    <cellStyle name="Note 4 2 4_Exh G" xfId="3643"/>
    <cellStyle name="Note 4 2 5" xfId="4394"/>
    <cellStyle name="Note 4 2_Exh G" xfId="3638"/>
    <cellStyle name="Note 4 3" xfId="717"/>
    <cellStyle name="Note 4 3 2" xfId="1745"/>
    <cellStyle name="Note 4 3 2 2" xfId="5275"/>
    <cellStyle name="Note 4 3 2_Exh G" xfId="3645"/>
    <cellStyle name="Note 4 3 3" xfId="4396"/>
    <cellStyle name="Note 4 3_Exh G" xfId="3644"/>
    <cellStyle name="Note 4 4" xfId="1034"/>
    <cellStyle name="Note 4 4 2" xfId="1934"/>
    <cellStyle name="Note 4 4 2 2" xfId="5452"/>
    <cellStyle name="Note 4 4 2_Exh G" xfId="3647"/>
    <cellStyle name="Note 4 4 3" xfId="4573"/>
    <cellStyle name="Note 4 4_Exh G" xfId="3646"/>
    <cellStyle name="Note 4 5" xfId="1742"/>
    <cellStyle name="Note 4 5 2" xfId="5272"/>
    <cellStyle name="Note 4 5_Exh G" xfId="3648"/>
    <cellStyle name="Note 4 6" xfId="4393"/>
    <cellStyle name="Note 4_Exh G" xfId="3637"/>
    <cellStyle name="Note 5" xfId="718"/>
    <cellStyle name="Note 5 2" xfId="719"/>
    <cellStyle name="Note 5 2 2" xfId="720"/>
    <cellStyle name="Note 5 2 2 2" xfId="1748"/>
    <cellStyle name="Note 5 2 2 2 2" xfId="5278"/>
    <cellStyle name="Note 5 2 2 2_Exh G" xfId="3652"/>
    <cellStyle name="Note 5 2 2 3" xfId="4399"/>
    <cellStyle name="Note 5 2 2_Exh G" xfId="3651"/>
    <cellStyle name="Note 5 2 3" xfId="1747"/>
    <cellStyle name="Note 5 2 3 2" xfId="5277"/>
    <cellStyle name="Note 5 2 3_Exh G" xfId="3653"/>
    <cellStyle name="Note 5 2 4" xfId="4398"/>
    <cellStyle name="Note 5 2_Exh G" xfId="3650"/>
    <cellStyle name="Note 5 3" xfId="721"/>
    <cellStyle name="Note 5 3 2" xfId="1749"/>
    <cellStyle name="Note 5 3 2 2" xfId="5279"/>
    <cellStyle name="Note 5 3 2_Exh G" xfId="3655"/>
    <cellStyle name="Note 5 3 3" xfId="4400"/>
    <cellStyle name="Note 5 3_Exh G" xfId="3654"/>
    <cellStyle name="Note 5 4" xfId="1036"/>
    <cellStyle name="Note 5 5" xfId="1746"/>
    <cellStyle name="Note 5 5 2" xfId="5276"/>
    <cellStyle name="Note 5 5_Exh G" xfId="3656"/>
    <cellStyle name="Note 5 6" xfId="4397"/>
    <cellStyle name="Note 5_Exh G" xfId="3649"/>
    <cellStyle name="Note 6" xfId="722"/>
    <cellStyle name="Note 6 2" xfId="723"/>
    <cellStyle name="Note 6 2 2" xfId="724"/>
    <cellStyle name="Note 6 2 2 2" xfId="1752"/>
    <cellStyle name="Note 6 2 2 2 2" xfId="5282"/>
    <cellStyle name="Note 6 2 2 2_Exh G" xfId="3660"/>
    <cellStyle name="Note 6 2 2 3" xfId="4403"/>
    <cellStyle name="Note 6 2 2_Exh G" xfId="3659"/>
    <cellStyle name="Note 6 2 3" xfId="1751"/>
    <cellStyle name="Note 6 2 3 2" xfId="5281"/>
    <cellStyle name="Note 6 2 3_Exh G" xfId="3661"/>
    <cellStyle name="Note 6 2 4" xfId="4402"/>
    <cellStyle name="Note 6 2_Exh G" xfId="3658"/>
    <cellStyle name="Note 6 3" xfId="725"/>
    <cellStyle name="Note 6 3 2" xfId="1753"/>
    <cellStyle name="Note 6 3 2 2" xfId="5283"/>
    <cellStyle name="Note 6 3 2_Exh G" xfId="3663"/>
    <cellStyle name="Note 6 3 3" xfId="4404"/>
    <cellStyle name="Note 6 3_Exh G" xfId="3662"/>
    <cellStyle name="Note 6 4" xfId="1037"/>
    <cellStyle name="Note 6 4 2" xfId="1936"/>
    <cellStyle name="Note 6 4 2 2" xfId="5454"/>
    <cellStyle name="Note 6 4 2_Exh G" xfId="3665"/>
    <cellStyle name="Note 6 4 3" xfId="4575"/>
    <cellStyle name="Note 6 4_Exh G" xfId="3664"/>
    <cellStyle name="Note 6 5" xfId="1750"/>
    <cellStyle name="Note 6 5 2" xfId="5280"/>
    <cellStyle name="Note 6 5_Exh G" xfId="3666"/>
    <cellStyle name="Note 6 6" xfId="4401"/>
    <cellStyle name="Note 6_Exh G" xfId="3657"/>
    <cellStyle name="Note 7" xfId="726"/>
    <cellStyle name="Note 7 2" xfId="727"/>
    <cellStyle name="Note 7 2 2" xfId="728"/>
    <cellStyle name="Note 7 2 2 2" xfId="1756"/>
    <cellStyle name="Note 7 2 2 2 2" xfId="5286"/>
    <cellStyle name="Note 7 2 2 2_Exh G" xfId="3670"/>
    <cellStyle name="Note 7 2 2 3" xfId="4407"/>
    <cellStyle name="Note 7 2 2_Exh G" xfId="3669"/>
    <cellStyle name="Note 7 2 3" xfId="1755"/>
    <cellStyle name="Note 7 2 3 2" xfId="5285"/>
    <cellStyle name="Note 7 2 3_Exh G" xfId="3671"/>
    <cellStyle name="Note 7 2 4" xfId="4406"/>
    <cellStyle name="Note 7 2_Exh G" xfId="3668"/>
    <cellStyle name="Note 7 3" xfId="729"/>
    <cellStyle name="Note 7 3 2" xfId="1757"/>
    <cellStyle name="Note 7 3 2 2" xfId="5287"/>
    <cellStyle name="Note 7 3 2_Exh G" xfId="3673"/>
    <cellStyle name="Note 7 3 3" xfId="4408"/>
    <cellStyle name="Note 7 3_Exh G" xfId="3672"/>
    <cellStyle name="Note 7 4" xfId="1038"/>
    <cellStyle name="Note 7 4 2" xfId="1937"/>
    <cellStyle name="Note 7 4 2 2" xfId="5455"/>
    <cellStyle name="Note 7 4 2_Exh G" xfId="3675"/>
    <cellStyle name="Note 7 4 3" xfId="4576"/>
    <cellStyle name="Note 7 4_Exh G" xfId="3674"/>
    <cellStyle name="Note 7 5" xfId="1754"/>
    <cellStyle name="Note 7 5 2" xfId="5284"/>
    <cellStyle name="Note 7 5_Exh G" xfId="3676"/>
    <cellStyle name="Note 7 6" xfId="4405"/>
    <cellStyle name="Note 7_Exh G" xfId="3667"/>
    <cellStyle name="Note 8" xfId="730"/>
    <cellStyle name="Note 8 2" xfId="731"/>
    <cellStyle name="Note 8 2 2" xfId="732"/>
    <cellStyle name="Note 8 2 2 2" xfId="1760"/>
    <cellStyle name="Note 8 2 2 2 2" xfId="5290"/>
    <cellStyle name="Note 8 2 2 2_Exh G" xfId="3680"/>
    <cellStyle name="Note 8 2 2 3" xfId="4411"/>
    <cellStyle name="Note 8 2 2_Exh G" xfId="3679"/>
    <cellStyle name="Note 8 2 3" xfId="1759"/>
    <cellStyle name="Note 8 2 3 2" xfId="5289"/>
    <cellStyle name="Note 8 2 3_Exh G" xfId="3681"/>
    <cellStyle name="Note 8 2 4" xfId="4410"/>
    <cellStyle name="Note 8 2_Exh G" xfId="3678"/>
    <cellStyle name="Note 8 3" xfId="733"/>
    <cellStyle name="Note 8 3 2" xfId="1761"/>
    <cellStyle name="Note 8 3 2 2" xfId="5291"/>
    <cellStyle name="Note 8 3 2_Exh G" xfId="3683"/>
    <cellStyle name="Note 8 3 3" xfId="4412"/>
    <cellStyle name="Note 8 3_Exh G" xfId="3682"/>
    <cellStyle name="Note 8 4" xfId="1039"/>
    <cellStyle name="Note 8 4 2" xfId="1938"/>
    <cellStyle name="Note 8 4 2 2" xfId="5456"/>
    <cellStyle name="Note 8 4 2_Exh G" xfId="3685"/>
    <cellStyle name="Note 8 4 3" xfId="4577"/>
    <cellStyle name="Note 8 4_Exh G" xfId="3684"/>
    <cellStyle name="Note 8 5" xfId="1758"/>
    <cellStyle name="Note 8 5 2" xfId="5288"/>
    <cellStyle name="Note 8 5_Exh G" xfId="3686"/>
    <cellStyle name="Note 8 6" xfId="4409"/>
    <cellStyle name="Note 8_Exh G" xfId="3677"/>
    <cellStyle name="Note 9" xfId="734"/>
    <cellStyle name="Note 9 2" xfId="735"/>
    <cellStyle name="Note 9 2 2" xfId="736"/>
    <cellStyle name="Note 9 2 2 2" xfId="1764"/>
    <cellStyle name="Note 9 2 2 2 2" xfId="5294"/>
    <cellStyle name="Note 9 2 2 2_Exh G" xfId="3690"/>
    <cellStyle name="Note 9 2 2 3" xfId="4415"/>
    <cellStyle name="Note 9 2 2_Exh G" xfId="3689"/>
    <cellStyle name="Note 9 2 3" xfId="1763"/>
    <cellStyle name="Note 9 2 3 2" xfId="5293"/>
    <cellStyle name="Note 9 2 3_Exh G" xfId="3691"/>
    <cellStyle name="Note 9 2 4" xfId="4414"/>
    <cellStyle name="Note 9 2_Exh G" xfId="3688"/>
    <cellStyle name="Note 9 3" xfId="737"/>
    <cellStyle name="Note 9 3 2" xfId="1765"/>
    <cellStyle name="Note 9 3 2 2" xfId="5295"/>
    <cellStyle name="Note 9 3 2_Exh G" xfId="3693"/>
    <cellStyle name="Note 9 3 3" xfId="4416"/>
    <cellStyle name="Note 9 3_Exh G" xfId="3692"/>
    <cellStyle name="Note 9 4" xfId="1040"/>
    <cellStyle name="Note 9 4 2" xfId="1939"/>
    <cellStyle name="Note 9 4 2 2" xfId="5457"/>
    <cellStyle name="Note 9 4 2_Exh G" xfId="3695"/>
    <cellStyle name="Note 9 4 3" xfId="4578"/>
    <cellStyle name="Note 9 4_Exh G" xfId="3694"/>
    <cellStyle name="Note 9 5" xfId="1762"/>
    <cellStyle name="Note 9 5 2" xfId="5292"/>
    <cellStyle name="Note 9 5_Exh G" xfId="3696"/>
    <cellStyle name="Note 9 6" xfId="4413"/>
    <cellStyle name="Note 9_Exh G" xfId="3687"/>
    <cellStyle name="Output 2" xfId="815"/>
    <cellStyle name="Output 3" xfId="816"/>
    <cellStyle name="Output 4" xfId="817"/>
    <cellStyle name="Output Amounts" xfId="12"/>
    <cellStyle name="Output Column Headings" xfId="13"/>
    <cellStyle name="Output Line Items" xfId="14"/>
    <cellStyle name="Output Line Items 2" xfId="3699"/>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Title 2" xfId="818"/>
    <cellStyle name="Title 3" xfId="819"/>
    <cellStyle name="Title 4" xfId="820"/>
    <cellStyle name="Total 2" xfId="821"/>
    <cellStyle name="Total 3" xfId="822"/>
    <cellStyle name="Total 4" xfId="823"/>
    <cellStyle name="Warning Text 2" xfId="824"/>
    <cellStyle name="Warning Text 3" xfId="825"/>
    <cellStyle name="Warning Text 4" xfId="826"/>
  </cellStyles>
  <dxfs count="0"/>
  <tableStyles count="0" defaultTableStyle="TableStyleMedium9" defaultPivotStyle="PivotStyleLight16"/>
  <colors>
    <mruColors>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1304925</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141</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139</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9.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10" Type="http://schemas.openxmlformats.org/officeDocument/2006/relationships/drawing" Target="../drawings/drawing2.xml"/><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10" Type="http://schemas.openxmlformats.org/officeDocument/2006/relationships/drawing" Target="../drawings/drawing3.xml"/><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97.bin"/><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 Id="rId7" Type="http://schemas.openxmlformats.org/officeDocument/2006/relationships/printerSettings" Target="../printerSettings/printerSettings205.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33.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51.bin"/><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5" Type="http://schemas.openxmlformats.org/officeDocument/2006/relationships/printerSettings" Target="../printerSettings/printerSettings248.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60.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69.bin"/><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5" Type="http://schemas.openxmlformats.org/officeDocument/2006/relationships/printerSettings" Target="../printerSettings/printerSettings266.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78.bin"/><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5" Type="http://schemas.openxmlformats.org/officeDocument/2006/relationships/printerSettings" Target="../printerSettings/printerSettings284.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10" Type="http://schemas.openxmlformats.org/officeDocument/2006/relationships/drawing" Target="../drawings/drawing4.xml"/><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05.bin"/><Relationship Id="rId3" Type="http://schemas.openxmlformats.org/officeDocument/2006/relationships/printerSettings" Target="../printerSettings/printerSettings300.bin"/><Relationship Id="rId7" Type="http://schemas.openxmlformats.org/officeDocument/2006/relationships/printerSettings" Target="../printerSettings/printerSettings304.bin"/><Relationship Id="rId2" Type="http://schemas.openxmlformats.org/officeDocument/2006/relationships/printerSettings" Target="../printerSettings/printerSettings299.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5" Type="http://schemas.openxmlformats.org/officeDocument/2006/relationships/printerSettings" Target="../printerSettings/printerSettings302.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23.bin"/><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5" Type="http://schemas.openxmlformats.org/officeDocument/2006/relationships/printerSettings" Target="../printerSettings/printerSettings320.bin"/><Relationship Id="rId10" Type="http://schemas.openxmlformats.org/officeDocument/2006/relationships/drawing" Target="../drawings/drawing5.xml"/><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32.bin"/><Relationship Id="rId3" Type="http://schemas.openxmlformats.org/officeDocument/2006/relationships/printerSettings" Target="../printerSettings/printerSettings327.bin"/><Relationship Id="rId7" Type="http://schemas.openxmlformats.org/officeDocument/2006/relationships/printerSettings" Target="../printerSettings/printerSettings331.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5" Type="http://schemas.openxmlformats.org/officeDocument/2006/relationships/printerSettings" Target="../printerSettings/printerSettings329.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41.bin"/><Relationship Id="rId3" Type="http://schemas.openxmlformats.org/officeDocument/2006/relationships/printerSettings" Target="../printerSettings/printerSettings336.bin"/><Relationship Id="rId7" Type="http://schemas.openxmlformats.org/officeDocument/2006/relationships/printerSettings" Target="../printerSettings/printerSettings340.bin"/><Relationship Id="rId2" Type="http://schemas.openxmlformats.org/officeDocument/2006/relationships/printerSettings" Target="../printerSettings/printerSettings335.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5" Type="http://schemas.openxmlformats.org/officeDocument/2006/relationships/printerSettings" Target="../printerSettings/printerSettings338.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5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2" Type="http://schemas.openxmlformats.org/officeDocument/2006/relationships/printerSettings" Target="../printerSettings/printerSettings353.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5" Type="http://schemas.openxmlformats.org/officeDocument/2006/relationships/printerSettings" Target="../printerSettings/printerSettings356.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77.bin"/><Relationship Id="rId3" Type="http://schemas.openxmlformats.org/officeDocument/2006/relationships/printerSettings" Target="../printerSettings/printerSettings372.bin"/><Relationship Id="rId7" Type="http://schemas.openxmlformats.org/officeDocument/2006/relationships/printerSettings" Target="../printerSettings/printerSettings376.bin"/><Relationship Id="rId2" Type="http://schemas.openxmlformats.org/officeDocument/2006/relationships/printerSettings" Target="../printerSettings/printerSettings371.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5" Type="http://schemas.openxmlformats.org/officeDocument/2006/relationships/printerSettings" Target="../printerSettings/printerSettings374.bin"/><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386.bin"/><Relationship Id="rId3" Type="http://schemas.openxmlformats.org/officeDocument/2006/relationships/printerSettings" Target="../printerSettings/printerSettings381.bin"/><Relationship Id="rId7" Type="http://schemas.openxmlformats.org/officeDocument/2006/relationships/printerSettings" Target="../printerSettings/printerSettings385.bin"/><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5" Type="http://schemas.openxmlformats.org/officeDocument/2006/relationships/printerSettings" Target="../printerSettings/printerSettings383.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10"/>
  <sheetViews>
    <sheetView showGridLines="0" tabSelected="1" showOutlineSymbols="0" zoomScale="95" zoomScaleNormal="100" zoomScaleSheetLayoutView="100" workbookViewId="0"/>
  </sheetViews>
  <sheetFormatPr defaultColWidth="8.88671875" defaultRowHeight="12.75"/>
  <cols>
    <col min="1" max="1" width="2.21875" style="1111" customWidth="1"/>
    <col min="2" max="2" width="22.77734375" style="1111" customWidth="1"/>
    <col min="3" max="3" width="6" style="1111" customWidth="1"/>
    <col min="4" max="4" width="24.109375" style="1111" customWidth="1"/>
    <col min="5" max="6" width="12.44140625" style="1111" customWidth="1"/>
    <col min="7" max="7" width="4" style="1111" customWidth="1"/>
    <col min="8" max="8" width="12.44140625" style="1111" customWidth="1"/>
    <col min="9" max="9" width="12" style="1111" customWidth="1"/>
    <col min="10" max="10" width="3.88671875" style="1111" customWidth="1"/>
    <col min="11" max="11" width="28.44140625" style="1111" customWidth="1"/>
    <col min="12" max="16384" width="8.88671875" style="1111"/>
  </cols>
  <sheetData>
    <row r="1" spans="1:10" s="1108" customFormat="1">
      <c r="A1" s="1106"/>
      <c r="B1" s="1106"/>
      <c r="C1" s="1106"/>
      <c r="D1" s="1106"/>
      <c r="E1" s="1106"/>
      <c r="F1" s="1106"/>
      <c r="G1" s="1106"/>
      <c r="H1" s="1106"/>
      <c r="I1" s="1106"/>
      <c r="J1" s="1107"/>
    </row>
    <row r="2" spans="1:10" s="1108" customFormat="1">
      <c r="A2" s="1106"/>
      <c r="B2" s="1106"/>
      <c r="C2" s="1106"/>
      <c r="D2" s="1106"/>
      <c r="E2" s="1106"/>
      <c r="F2" s="1106"/>
      <c r="G2" s="1106"/>
      <c r="H2" s="1106"/>
      <c r="I2" s="1106"/>
      <c r="J2" s="1107"/>
    </row>
    <row r="3" spans="1:10" s="1108" customFormat="1">
      <c r="A3" s="1106"/>
      <c r="B3" s="1106"/>
      <c r="C3" s="1106"/>
      <c r="D3" s="1106"/>
      <c r="E3" s="1106"/>
      <c r="F3" s="1106"/>
      <c r="G3" s="1106"/>
      <c r="H3" s="1106"/>
      <c r="I3" s="1106"/>
      <c r="J3" s="1107"/>
    </row>
    <row r="4" spans="1:10" s="1108" customFormat="1">
      <c r="A4" s="1106" t="s">
        <v>1268</v>
      </c>
      <c r="B4" s="1106"/>
      <c r="C4" s="1106"/>
      <c r="D4" s="1106"/>
      <c r="E4" s="1106"/>
      <c r="F4" s="1106"/>
      <c r="G4" s="1106"/>
      <c r="H4" s="1106"/>
      <c r="I4" s="1675" t="s">
        <v>1264</v>
      </c>
      <c r="J4" s="1107"/>
    </row>
    <row r="5" spans="1:10" ht="18">
      <c r="A5" s="1106" t="s">
        <v>1266</v>
      </c>
      <c r="B5" s="1109"/>
      <c r="C5" s="1109"/>
      <c r="D5" s="1109"/>
      <c r="E5" s="1109"/>
      <c r="F5" s="1109"/>
      <c r="G5" s="1109"/>
      <c r="H5" s="1109"/>
      <c r="I5" s="1675" t="s">
        <v>1265</v>
      </c>
      <c r="J5" s="1110"/>
    </row>
    <row r="6" spans="1:10" ht="18">
      <c r="A6" s="1106" t="s">
        <v>1114</v>
      </c>
      <c r="B6" s="1109"/>
      <c r="C6" s="1109"/>
      <c r="D6" s="1109"/>
      <c r="E6" s="1109"/>
      <c r="F6" s="1109"/>
      <c r="G6" s="1109"/>
      <c r="H6" s="1109"/>
      <c r="I6" s="1109"/>
      <c r="J6" s="1110"/>
    </row>
    <row r="7" spans="1:10" ht="18">
      <c r="A7" s="1106" t="s">
        <v>1115</v>
      </c>
      <c r="B7" s="1109"/>
      <c r="C7" s="1109"/>
      <c r="D7" s="1109"/>
      <c r="E7" s="1109"/>
      <c r="F7" s="1109"/>
      <c r="G7" s="1109"/>
      <c r="H7" s="1109"/>
      <c r="I7" s="1109"/>
      <c r="J7" s="1110"/>
    </row>
    <row r="8" spans="1:10" ht="18.75" thickBot="1">
      <c r="A8" s="1109"/>
      <c r="B8" s="1109"/>
      <c r="C8" s="1109"/>
      <c r="D8" s="1109"/>
      <c r="E8" s="1109"/>
      <c r="F8" s="1109"/>
      <c r="G8" s="1109"/>
      <c r="H8" s="1109"/>
      <c r="I8" s="1109"/>
      <c r="J8" s="1110"/>
    </row>
    <row r="9" spans="1:10" ht="18.75" thickTop="1">
      <c r="A9" s="1112" t="s">
        <v>1116</v>
      </c>
      <c r="B9" s="1113"/>
      <c r="C9" s="1113"/>
      <c r="D9" s="1113"/>
      <c r="E9" s="1113"/>
      <c r="F9" s="1113"/>
      <c r="G9" s="1113"/>
      <c r="H9" s="1113"/>
      <c r="I9" s="1113"/>
      <c r="J9" s="1114"/>
    </row>
    <row r="10" spans="1:10" ht="18.75" thickBot="1">
      <c r="A10" s="1115" t="s">
        <v>1646</v>
      </c>
      <c r="B10" s="1109"/>
      <c r="C10" s="1109"/>
      <c r="D10" s="1109"/>
      <c r="E10" s="1109"/>
      <c r="F10" s="1109"/>
      <c r="G10" s="1109"/>
      <c r="H10" s="1109"/>
      <c r="I10" s="1109"/>
      <c r="J10" s="1114"/>
    </row>
    <row r="11" spans="1:10" ht="18.75" thickTop="1">
      <c r="A11" s="1116"/>
      <c r="B11" s="1117"/>
      <c r="C11" s="1117"/>
      <c r="D11" s="1117"/>
      <c r="E11" s="1117"/>
      <c r="F11" s="1117"/>
      <c r="G11" s="1117"/>
      <c r="H11" s="1117"/>
      <c r="I11" s="1117"/>
      <c r="J11" s="1118"/>
    </row>
    <row r="12" spans="1:10">
      <c r="A12" s="1106" t="s">
        <v>1117</v>
      </c>
      <c r="B12" s="1109"/>
      <c r="C12" s="1109"/>
      <c r="D12" s="1109"/>
      <c r="E12" s="1106"/>
      <c r="F12" s="1106"/>
      <c r="G12" s="1106"/>
      <c r="H12" s="1109"/>
      <c r="I12" s="1109"/>
      <c r="J12" s="1119"/>
    </row>
    <row r="13" spans="1:10">
      <c r="A13" s="1108"/>
      <c r="J13" s="1119"/>
    </row>
    <row r="14" spans="1:10">
      <c r="A14" s="1108" t="s">
        <v>1118</v>
      </c>
      <c r="B14" s="1122"/>
      <c r="J14" s="1120"/>
    </row>
    <row r="15" spans="1:10">
      <c r="A15" s="1108"/>
      <c r="B15" s="1247"/>
      <c r="J15" s="1120"/>
    </row>
    <row r="16" spans="1:10">
      <c r="A16" s="1108"/>
      <c r="B16" s="3087" t="s">
        <v>1151</v>
      </c>
      <c r="D16" s="1121" t="s">
        <v>1119</v>
      </c>
      <c r="F16" s="1122"/>
      <c r="J16" s="1248">
        <v>2</v>
      </c>
    </row>
    <row r="17" spans="1:255">
      <c r="A17" s="1108"/>
      <c r="B17" s="3087" t="s">
        <v>1152</v>
      </c>
      <c r="D17" s="1111" t="s">
        <v>1594</v>
      </c>
      <c r="E17" s="1124"/>
      <c r="F17" s="1125"/>
      <c r="G17" s="1124"/>
      <c r="H17" s="1124"/>
      <c r="I17" s="1124"/>
      <c r="J17" s="1248">
        <v>3</v>
      </c>
      <c r="M17" s="1126"/>
    </row>
    <row r="18" spans="1:255">
      <c r="A18" s="1127"/>
      <c r="B18" s="3082" t="s">
        <v>1153</v>
      </c>
      <c r="D18" s="1129" t="s">
        <v>1320</v>
      </c>
      <c r="E18" s="1121"/>
      <c r="F18" s="1121"/>
      <c r="G18" s="1121"/>
      <c r="H18" s="1121"/>
      <c r="I18" s="1121"/>
      <c r="J18" s="1248">
        <v>4</v>
      </c>
    </row>
    <row r="19" spans="1:255">
      <c r="A19" s="1108"/>
      <c r="B19" s="3082" t="s">
        <v>1154</v>
      </c>
      <c r="D19" s="1128" t="s">
        <v>1120</v>
      </c>
      <c r="E19" s="1128"/>
      <c r="F19" s="1128"/>
      <c r="G19" s="1128"/>
      <c r="H19" s="1128"/>
      <c r="I19" s="1128"/>
      <c r="J19" s="1248">
        <v>5</v>
      </c>
      <c r="M19" s="1126"/>
    </row>
    <row r="20" spans="1:255">
      <c r="A20" s="1108"/>
      <c r="B20" s="3082" t="s">
        <v>1155</v>
      </c>
      <c r="D20" s="1128" t="s">
        <v>1121</v>
      </c>
      <c r="E20" s="1128"/>
      <c r="F20" s="1128"/>
      <c r="G20" s="1128"/>
      <c r="H20" s="1128"/>
      <c r="I20" s="1128"/>
      <c r="J20" s="1248">
        <v>6</v>
      </c>
      <c r="M20" s="1126"/>
    </row>
    <row r="21" spans="1:255">
      <c r="A21" s="1108"/>
      <c r="B21" s="3082" t="s">
        <v>1541</v>
      </c>
      <c r="D21" s="1129" t="s">
        <v>1595</v>
      </c>
      <c r="E21" s="1128"/>
      <c r="F21" s="1128"/>
      <c r="G21" s="1128"/>
      <c r="H21" s="1128"/>
      <c r="I21" s="1128"/>
      <c r="J21" s="1248">
        <v>7</v>
      </c>
      <c r="M21" s="1126"/>
    </row>
    <row r="22" spans="1:255">
      <c r="A22" s="1108"/>
      <c r="B22" s="3082" t="s">
        <v>1542</v>
      </c>
      <c r="D22" s="1129" t="s">
        <v>1596</v>
      </c>
      <c r="E22" s="1128"/>
      <c r="F22" s="1128"/>
      <c r="G22" s="1128"/>
      <c r="H22" s="1128"/>
      <c r="I22" s="1128"/>
      <c r="J22" s="1248">
        <v>8</v>
      </c>
      <c r="M22" s="1126"/>
    </row>
    <row r="23" spans="1:255">
      <c r="A23" s="1108"/>
      <c r="B23" s="3082" t="s">
        <v>1543</v>
      </c>
      <c r="D23" s="1129" t="s">
        <v>1603</v>
      </c>
      <c r="E23" s="1128"/>
      <c r="F23" s="1128"/>
      <c r="G23" s="1128"/>
      <c r="H23" s="1128"/>
      <c r="I23" s="1128"/>
      <c r="J23" s="1248">
        <v>9</v>
      </c>
      <c r="M23" s="1126"/>
    </row>
    <row r="24" spans="1:255">
      <c r="A24" s="1108"/>
      <c r="B24" s="3082" t="s">
        <v>1544</v>
      </c>
      <c r="D24" s="1129" t="s">
        <v>1597</v>
      </c>
      <c r="E24" s="1128"/>
      <c r="F24" s="1128"/>
      <c r="G24" s="1128"/>
      <c r="H24" s="1128"/>
      <c r="I24" s="1128"/>
      <c r="J24" s="1248">
        <v>10</v>
      </c>
      <c r="M24" s="1126"/>
    </row>
    <row r="25" spans="1:255">
      <c r="A25" s="1108"/>
      <c r="B25" s="3082" t="s">
        <v>1545</v>
      </c>
      <c r="D25" s="1129" t="s">
        <v>1598</v>
      </c>
      <c r="E25" s="1128"/>
      <c r="F25" s="1128"/>
      <c r="G25" s="1128"/>
      <c r="H25" s="1128"/>
      <c r="I25" s="1128"/>
      <c r="J25" s="1248">
        <v>11</v>
      </c>
      <c r="M25" s="1126"/>
    </row>
    <row r="26" spans="1:255">
      <c r="A26" s="1108"/>
      <c r="B26" s="3082" t="s">
        <v>1546</v>
      </c>
      <c r="D26" s="1129" t="s">
        <v>1599</v>
      </c>
      <c r="E26" s="1128"/>
      <c r="F26" s="1128"/>
      <c r="G26" s="1128"/>
      <c r="H26" s="1128"/>
      <c r="I26" s="1128"/>
      <c r="J26" s="1248">
        <v>12</v>
      </c>
      <c r="M26" s="1126"/>
    </row>
    <row r="27" spans="1:255">
      <c r="A27" s="1108"/>
      <c r="B27" s="3082" t="s">
        <v>1547</v>
      </c>
      <c r="D27" s="1129" t="s">
        <v>1600</v>
      </c>
      <c r="E27" s="1128"/>
      <c r="F27" s="1128"/>
      <c r="G27" s="1128"/>
      <c r="H27" s="1128"/>
      <c r="I27" s="1128"/>
      <c r="J27" s="1248">
        <v>13</v>
      </c>
      <c r="M27" s="1126"/>
    </row>
    <row r="28" spans="1:255">
      <c r="A28" s="1108"/>
      <c r="B28" s="3082" t="s">
        <v>1548</v>
      </c>
      <c r="D28" s="1129" t="s">
        <v>1601</v>
      </c>
      <c r="E28" s="1128"/>
      <c r="F28" s="1128"/>
      <c r="G28" s="1128"/>
      <c r="H28" s="1128"/>
      <c r="I28" s="1128"/>
      <c r="J28" s="1248">
        <v>14</v>
      </c>
      <c r="M28" s="1126"/>
    </row>
    <row r="29" spans="1:255">
      <c r="A29" s="1108"/>
      <c r="B29" s="3082" t="s">
        <v>1156</v>
      </c>
      <c r="D29" s="1130" t="s">
        <v>1122</v>
      </c>
      <c r="E29" s="1128"/>
      <c r="F29" s="1128"/>
      <c r="G29" s="1128"/>
      <c r="H29" s="1128"/>
      <c r="I29" s="1128"/>
      <c r="J29" s="1248">
        <v>15</v>
      </c>
      <c r="M29" s="1126"/>
    </row>
    <row r="30" spans="1:255">
      <c r="A30" s="1108"/>
      <c r="B30" s="3087" t="s">
        <v>1184</v>
      </c>
      <c r="D30" s="1129" t="s">
        <v>1602</v>
      </c>
      <c r="E30" s="1129"/>
      <c r="F30" s="1129"/>
      <c r="G30" s="1129"/>
      <c r="H30" s="1129"/>
      <c r="I30" s="1129"/>
      <c r="J30" s="1248">
        <v>16</v>
      </c>
      <c r="K30" s="1108"/>
      <c r="L30" s="1108"/>
      <c r="M30" s="1108"/>
      <c r="N30" s="1108"/>
      <c r="O30" s="1108"/>
      <c r="P30" s="1108"/>
      <c r="Q30" s="1108"/>
      <c r="R30" s="1108"/>
      <c r="S30" s="1108"/>
      <c r="T30" s="1108"/>
      <c r="U30" s="1108"/>
      <c r="V30" s="1108"/>
      <c r="W30" s="1108"/>
      <c r="X30" s="1108"/>
      <c r="Y30" s="1108"/>
      <c r="Z30" s="1108"/>
      <c r="AA30" s="1108"/>
      <c r="AB30" s="1108"/>
      <c r="AC30" s="1108"/>
      <c r="AD30" s="1108"/>
      <c r="AE30" s="1108"/>
      <c r="AF30" s="1108"/>
      <c r="AG30" s="1108"/>
      <c r="AH30" s="1108"/>
      <c r="AI30" s="1108"/>
      <c r="AJ30" s="1108"/>
      <c r="AK30" s="1108"/>
      <c r="AL30" s="1108"/>
      <c r="AM30" s="1108"/>
      <c r="AN30" s="1108"/>
      <c r="AO30" s="1108"/>
      <c r="AP30" s="1108"/>
      <c r="AQ30" s="1108"/>
      <c r="AR30" s="1108"/>
      <c r="AS30" s="1108"/>
      <c r="AT30" s="1108"/>
      <c r="AU30" s="1108"/>
      <c r="AV30" s="1108"/>
      <c r="AW30" s="1108"/>
      <c r="AX30" s="1108"/>
      <c r="AY30" s="1108"/>
      <c r="AZ30" s="1108"/>
      <c r="BA30" s="1108"/>
      <c r="BB30" s="1108"/>
      <c r="BC30" s="1108"/>
      <c r="BD30" s="1108"/>
      <c r="BE30" s="1108"/>
      <c r="BF30" s="1108"/>
      <c r="BG30" s="1108"/>
      <c r="BH30" s="1108"/>
      <c r="BI30" s="1108"/>
      <c r="BJ30" s="1108"/>
      <c r="BK30" s="1108"/>
      <c r="BL30" s="1108"/>
      <c r="BM30" s="1108"/>
      <c r="BN30" s="1108"/>
      <c r="BO30" s="1108"/>
      <c r="BP30" s="1108"/>
      <c r="BQ30" s="1108"/>
      <c r="BR30" s="1108"/>
      <c r="BS30" s="1108"/>
      <c r="BT30" s="1108"/>
      <c r="BU30" s="1108"/>
      <c r="BV30" s="1108"/>
      <c r="BW30" s="1108"/>
      <c r="BX30" s="1108"/>
      <c r="BY30" s="1108"/>
      <c r="BZ30" s="1108"/>
      <c r="CA30" s="1108"/>
      <c r="CB30" s="1108"/>
      <c r="CC30" s="1108"/>
      <c r="CD30" s="1108"/>
      <c r="CE30" s="1108"/>
      <c r="CF30" s="1108"/>
      <c r="CG30" s="1108"/>
      <c r="CH30" s="1108"/>
      <c r="CI30" s="1108"/>
      <c r="CJ30" s="1108"/>
      <c r="CK30" s="1108"/>
      <c r="CL30" s="1108"/>
      <c r="CM30" s="1108"/>
      <c r="CN30" s="1108"/>
      <c r="CO30" s="1108"/>
      <c r="CP30" s="1108"/>
      <c r="CQ30" s="1108"/>
      <c r="CR30" s="1108"/>
      <c r="CS30" s="1108"/>
      <c r="CT30" s="1108"/>
      <c r="CU30" s="1108"/>
      <c r="CV30" s="1108"/>
      <c r="CW30" s="1108"/>
      <c r="CX30" s="1108"/>
      <c r="CY30" s="1108"/>
      <c r="CZ30" s="1108"/>
      <c r="DA30" s="1108"/>
      <c r="DB30" s="1108"/>
      <c r="DC30" s="1108"/>
      <c r="DD30" s="1108"/>
      <c r="DE30" s="1108"/>
      <c r="DF30" s="1108"/>
      <c r="DG30" s="1108"/>
      <c r="DH30" s="1108"/>
      <c r="DI30" s="1108"/>
      <c r="DJ30" s="1108"/>
      <c r="DK30" s="1108"/>
      <c r="DL30" s="1108"/>
      <c r="DM30" s="1108"/>
      <c r="DN30" s="1108"/>
      <c r="DO30" s="1108"/>
      <c r="DP30" s="1108"/>
      <c r="DQ30" s="1108"/>
      <c r="DR30" s="1108"/>
      <c r="DS30" s="1108"/>
      <c r="DT30" s="1108"/>
      <c r="DU30" s="1108"/>
      <c r="DV30" s="1108"/>
      <c r="DW30" s="1108"/>
      <c r="DX30" s="1108"/>
      <c r="DY30" s="1108"/>
      <c r="DZ30" s="1108"/>
      <c r="EA30" s="1108"/>
      <c r="EB30" s="1108"/>
      <c r="EC30" s="1108"/>
      <c r="ED30" s="1108"/>
      <c r="EE30" s="1108"/>
      <c r="EF30" s="1108"/>
      <c r="EG30" s="1108"/>
      <c r="EH30" s="1108"/>
      <c r="EI30" s="1108"/>
      <c r="EJ30" s="1108"/>
      <c r="EK30" s="1108"/>
      <c r="EL30" s="1108"/>
      <c r="EM30" s="1108"/>
      <c r="EN30" s="1108"/>
      <c r="EO30" s="1108"/>
      <c r="EP30" s="1108"/>
      <c r="EQ30" s="1108"/>
      <c r="ER30" s="1108"/>
      <c r="ES30" s="1108"/>
      <c r="ET30" s="1108"/>
      <c r="EU30" s="1108"/>
      <c r="EV30" s="1108"/>
      <c r="EW30" s="1108"/>
      <c r="EX30" s="1108"/>
      <c r="EY30" s="1108"/>
      <c r="EZ30" s="1108"/>
      <c r="FA30" s="1108"/>
      <c r="FB30" s="1108"/>
      <c r="FC30" s="1108"/>
      <c r="FD30" s="1108"/>
      <c r="FE30" s="1108"/>
      <c r="FF30" s="1108"/>
      <c r="FG30" s="1108"/>
      <c r="FH30" s="1108"/>
      <c r="FI30" s="1108"/>
      <c r="FJ30" s="1108"/>
      <c r="FK30" s="1108"/>
      <c r="FL30" s="1108"/>
      <c r="FM30" s="1108"/>
      <c r="FN30" s="1108"/>
      <c r="FO30" s="1108"/>
      <c r="FP30" s="1108"/>
      <c r="FQ30" s="1108"/>
      <c r="FR30" s="1108"/>
      <c r="FS30" s="1108"/>
      <c r="FT30" s="1108"/>
      <c r="FU30" s="1108"/>
      <c r="FV30" s="1108"/>
      <c r="FW30" s="1108"/>
      <c r="FX30" s="1108"/>
      <c r="FY30" s="1108"/>
      <c r="FZ30" s="1108"/>
      <c r="GA30" s="1108"/>
      <c r="GB30" s="1108"/>
      <c r="GC30" s="1108"/>
      <c r="GD30" s="1108"/>
      <c r="GE30" s="1108"/>
      <c r="GF30" s="1108"/>
      <c r="GG30" s="1108"/>
      <c r="GH30" s="1108"/>
      <c r="GI30" s="1108"/>
      <c r="GJ30" s="1108"/>
      <c r="GK30" s="1108"/>
      <c r="GL30" s="1108"/>
      <c r="GM30" s="1108"/>
      <c r="GN30" s="1108"/>
      <c r="GO30" s="1108"/>
      <c r="GP30" s="1108"/>
      <c r="GQ30" s="1108"/>
      <c r="GR30" s="1108"/>
      <c r="GS30" s="1108"/>
      <c r="GT30" s="1108"/>
      <c r="GU30" s="1108"/>
      <c r="GV30" s="1108"/>
      <c r="GW30" s="1108"/>
      <c r="GX30" s="1108"/>
      <c r="GY30" s="1108"/>
      <c r="GZ30" s="1108"/>
      <c r="HA30" s="1108"/>
      <c r="HB30" s="1108"/>
      <c r="HC30" s="1108"/>
      <c r="HD30" s="1108"/>
      <c r="HE30" s="1108"/>
      <c r="HF30" s="1108"/>
      <c r="HG30" s="1108"/>
      <c r="HH30" s="1108"/>
      <c r="HI30" s="1108"/>
      <c r="HJ30" s="1108"/>
      <c r="HK30" s="1108"/>
      <c r="HL30" s="1108"/>
      <c r="HM30" s="1108"/>
      <c r="HN30" s="1108"/>
      <c r="HO30" s="1108"/>
      <c r="HP30" s="1108"/>
      <c r="HQ30" s="1108"/>
      <c r="HR30" s="1108"/>
      <c r="HS30" s="1108"/>
      <c r="HT30" s="1108"/>
      <c r="HU30" s="1108"/>
      <c r="HV30" s="1108"/>
      <c r="HW30" s="1108"/>
      <c r="HX30" s="1108"/>
      <c r="HY30" s="1108"/>
      <c r="HZ30" s="1108"/>
      <c r="IA30" s="1108"/>
      <c r="IB30" s="1108"/>
      <c r="IC30" s="1108"/>
      <c r="ID30" s="1108"/>
      <c r="IE30" s="1108"/>
      <c r="IF30" s="1108"/>
      <c r="IG30" s="1108"/>
      <c r="IH30" s="1108"/>
      <c r="II30" s="1108"/>
      <c r="IJ30" s="1108"/>
      <c r="IK30" s="1108"/>
      <c r="IL30" s="1108"/>
      <c r="IM30" s="1108"/>
      <c r="IN30" s="1108"/>
      <c r="IO30" s="1108"/>
      <c r="IP30" s="1108"/>
      <c r="IQ30" s="1108"/>
      <c r="IR30" s="1108"/>
      <c r="IS30" s="1108"/>
      <c r="IT30" s="1108"/>
      <c r="IU30" s="1108"/>
    </row>
    <row r="31" spans="1:255">
      <c r="A31" s="1108"/>
      <c r="B31" s="3082" t="s">
        <v>1549</v>
      </c>
      <c r="D31" s="1129" t="s">
        <v>1594</v>
      </c>
      <c r="E31" s="1124"/>
      <c r="F31" s="1124"/>
      <c r="G31" s="1124"/>
      <c r="H31" s="1124"/>
      <c r="I31" s="1124"/>
      <c r="J31" s="1248">
        <v>18</v>
      </c>
      <c r="K31" s="1108"/>
      <c r="L31" s="1108"/>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8"/>
      <c r="AX31" s="1108"/>
      <c r="AY31" s="1108"/>
      <c r="AZ31" s="1108"/>
      <c r="BA31" s="1108"/>
      <c r="BB31" s="1108"/>
      <c r="BC31" s="1108"/>
      <c r="BD31" s="1108"/>
      <c r="BE31" s="1108"/>
      <c r="BF31" s="1108"/>
      <c r="BG31" s="1108"/>
      <c r="BH31" s="1108"/>
      <c r="BI31" s="1108"/>
      <c r="BJ31" s="1108"/>
      <c r="BK31" s="1108"/>
      <c r="BL31" s="1108"/>
      <c r="BM31" s="1108"/>
      <c r="BN31" s="1108"/>
      <c r="BO31" s="1108"/>
      <c r="BP31" s="1108"/>
      <c r="BQ31" s="1108"/>
      <c r="BR31" s="1108"/>
      <c r="BS31" s="1108"/>
      <c r="BT31" s="1108"/>
      <c r="BU31" s="1108"/>
      <c r="BV31" s="1108"/>
      <c r="BW31" s="1108"/>
      <c r="BX31" s="1108"/>
      <c r="BY31" s="1108"/>
      <c r="BZ31" s="1108"/>
      <c r="CA31" s="1108"/>
      <c r="CB31" s="1108"/>
      <c r="CC31" s="1108"/>
      <c r="CD31" s="1108"/>
      <c r="CE31" s="1108"/>
      <c r="CF31" s="1108"/>
      <c r="CG31" s="1108"/>
      <c r="CH31" s="1108"/>
      <c r="CI31" s="1108"/>
      <c r="CJ31" s="1108"/>
      <c r="CK31" s="1108"/>
      <c r="CL31" s="1108"/>
      <c r="CM31" s="1108"/>
      <c r="CN31" s="1108"/>
      <c r="CO31" s="1108"/>
      <c r="CP31" s="1108"/>
      <c r="CQ31" s="1108"/>
      <c r="CR31" s="1108"/>
      <c r="CS31" s="1108"/>
      <c r="CT31" s="1108"/>
      <c r="CU31" s="1108"/>
      <c r="CV31" s="1108"/>
      <c r="CW31" s="1108"/>
      <c r="CX31" s="1108"/>
      <c r="CY31" s="1108"/>
      <c r="CZ31" s="1108"/>
      <c r="DA31" s="1108"/>
      <c r="DB31" s="1108"/>
      <c r="DC31" s="1108"/>
      <c r="DD31" s="1108"/>
      <c r="DE31" s="1108"/>
      <c r="DF31" s="1108"/>
      <c r="DG31" s="1108"/>
      <c r="DH31" s="1108"/>
      <c r="DI31" s="1108"/>
      <c r="DJ31" s="1108"/>
      <c r="DK31" s="1108"/>
      <c r="DL31" s="1108"/>
      <c r="DM31" s="1108"/>
      <c r="DN31" s="1108"/>
      <c r="DO31" s="1108"/>
      <c r="DP31" s="1108"/>
      <c r="DQ31" s="1108"/>
      <c r="DR31" s="1108"/>
      <c r="DS31" s="1108"/>
      <c r="DT31" s="1108"/>
      <c r="DU31" s="1108"/>
      <c r="DV31" s="1108"/>
      <c r="DW31" s="1108"/>
      <c r="DX31" s="1108"/>
      <c r="DY31" s="1108"/>
      <c r="DZ31" s="1108"/>
      <c r="EA31" s="1108"/>
      <c r="EB31" s="1108"/>
      <c r="EC31" s="1108"/>
      <c r="ED31" s="1108"/>
      <c r="EE31" s="1108"/>
      <c r="EF31" s="1108"/>
      <c r="EG31" s="1108"/>
      <c r="EH31" s="1108"/>
      <c r="EI31" s="1108"/>
      <c r="EJ31" s="1108"/>
      <c r="EK31" s="1108"/>
      <c r="EL31" s="1108"/>
      <c r="EM31" s="1108"/>
      <c r="EN31" s="1108"/>
      <c r="EO31" s="1108"/>
      <c r="EP31" s="1108"/>
      <c r="EQ31" s="1108"/>
      <c r="ER31" s="1108"/>
      <c r="ES31" s="1108"/>
      <c r="ET31" s="1108"/>
      <c r="EU31" s="1108"/>
      <c r="EV31" s="1108"/>
      <c r="EW31" s="1108"/>
      <c r="EX31" s="1108"/>
      <c r="EY31" s="1108"/>
      <c r="EZ31" s="1108"/>
      <c r="FA31" s="1108"/>
      <c r="FB31" s="1108"/>
      <c r="FC31" s="1108"/>
      <c r="FD31" s="1108"/>
      <c r="FE31" s="1108"/>
      <c r="FF31" s="1108"/>
      <c r="FG31" s="1108"/>
      <c r="FH31" s="1108"/>
      <c r="FI31" s="1108"/>
      <c r="FJ31" s="1108"/>
      <c r="FK31" s="1108"/>
      <c r="FL31" s="1108"/>
      <c r="FM31" s="1108"/>
      <c r="FN31" s="1108"/>
      <c r="FO31" s="1108"/>
      <c r="FP31" s="1108"/>
      <c r="FQ31" s="1108"/>
      <c r="FR31" s="1108"/>
      <c r="FS31" s="1108"/>
      <c r="FT31" s="1108"/>
      <c r="FU31" s="1108"/>
      <c r="FV31" s="1108"/>
      <c r="FW31" s="1108"/>
      <c r="FX31" s="1108"/>
      <c r="FY31" s="1108"/>
      <c r="FZ31" s="1108"/>
      <c r="GA31" s="1108"/>
      <c r="GB31" s="1108"/>
      <c r="GC31" s="1108"/>
      <c r="GD31" s="1108"/>
      <c r="GE31" s="1108"/>
      <c r="GF31" s="1108"/>
      <c r="GG31" s="1108"/>
      <c r="GH31" s="1108"/>
      <c r="GI31" s="1108"/>
      <c r="GJ31" s="1108"/>
      <c r="GK31" s="1108"/>
      <c r="GL31" s="1108"/>
      <c r="GM31" s="1108"/>
      <c r="GN31" s="1108"/>
      <c r="GO31" s="1108"/>
      <c r="GP31" s="1108"/>
      <c r="GQ31" s="1108"/>
      <c r="GR31" s="1108"/>
      <c r="GS31" s="1108"/>
      <c r="GT31" s="1108"/>
      <c r="GU31" s="1108"/>
      <c r="GV31" s="1108"/>
      <c r="GW31" s="1108"/>
      <c r="GX31" s="1108"/>
      <c r="GY31" s="1108"/>
      <c r="GZ31" s="1108"/>
      <c r="HA31" s="1108"/>
      <c r="HB31" s="1108"/>
      <c r="HC31" s="1108"/>
      <c r="HD31" s="1108"/>
      <c r="HE31" s="1108"/>
      <c r="HF31" s="1108"/>
      <c r="HG31" s="1108"/>
      <c r="HH31" s="1108"/>
      <c r="HI31" s="1108"/>
      <c r="HJ31" s="1108"/>
      <c r="HK31" s="1108"/>
      <c r="HL31" s="1108"/>
      <c r="HM31" s="1108"/>
      <c r="HN31" s="1108"/>
      <c r="HO31" s="1108"/>
      <c r="HP31" s="1108"/>
      <c r="HQ31" s="1108"/>
      <c r="HR31" s="1108"/>
      <c r="HS31" s="1108"/>
      <c r="HT31" s="1108"/>
      <c r="HU31" s="1108"/>
      <c r="HV31" s="1108"/>
      <c r="HW31" s="1108"/>
      <c r="HX31" s="1108"/>
      <c r="HY31" s="1108"/>
      <c r="HZ31" s="1108"/>
      <c r="IA31" s="1108"/>
      <c r="IB31" s="1108"/>
      <c r="IC31" s="1108"/>
      <c r="ID31" s="1108"/>
      <c r="IE31" s="1108"/>
      <c r="IF31" s="1108"/>
      <c r="IG31" s="1108"/>
      <c r="IH31" s="1108"/>
      <c r="II31" s="1108"/>
      <c r="IJ31" s="1108"/>
      <c r="IK31" s="1108"/>
      <c r="IL31" s="1108"/>
      <c r="IM31" s="1108"/>
      <c r="IN31" s="1108"/>
      <c r="IO31" s="1108"/>
      <c r="IP31" s="1108"/>
      <c r="IQ31" s="1108"/>
      <c r="IR31" s="1108"/>
      <c r="IS31" s="1108"/>
      <c r="IT31" s="1108"/>
      <c r="IU31" s="1108"/>
    </row>
    <row r="32" spans="1:255">
      <c r="A32" s="1108"/>
      <c r="B32" s="3082"/>
      <c r="D32" s="1131"/>
      <c r="E32" s="1131"/>
      <c r="F32" s="1131"/>
      <c r="G32" s="1131"/>
      <c r="H32" s="1131"/>
      <c r="I32" s="1131"/>
      <c r="J32" s="1248"/>
      <c r="K32" s="1108"/>
      <c r="L32" s="1108"/>
      <c r="M32" s="1108"/>
      <c r="N32" s="1108"/>
      <c r="O32" s="1108"/>
      <c r="P32" s="1108"/>
      <c r="Q32" s="1108"/>
      <c r="R32" s="1108"/>
      <c r="S32" s="1108"/>
      <c r="T32" s="1108"/>
      <c r="U32" s="1108"/>
      <c r="V32" s="1108"/>
      <c r="W32" s="1108"/>
      <c r="X32" s="1108"/>
      <c r="Y32" s="1108"/>
      <c r="Z32" s="1108"/>
      <c r="AA32" s="1108"/>
      <c r="AB32" s="1108"/>
      <c r="AC32" s="1108"/>
      <c r="AD32" s="1108"/>
      <c r="AE32" s="1108"/>
      <c r="AF32" s="1108"/>
      <c r="AG32" s="1108"/>
      <c r="AH32" s="1108"/>
      <c r="AI32" s="1108"/>
      <c r="AJ32" s="1108"/>
      <c r="AK32" s="1108"/>
      <c r="AL32" s="1108"/>
      <c r="AM32" s="1108"/>
      <c r="AN32" s="1108"/>
      <c r="AO32" s="1108"/>
      <c r="AP32" s="1108"/>
      <c r="AQ32" s="1108"/>
      <c r="AR32" s="1108"/>
      <c r="AS32" s="1108"/>
      <c r="AT32" s="1108"/>
      <c r="AU32" s="1108"/>
      <c r="AV32" s="1108"/>
      <c r="AW32" s="1108"/>
      <c r="AX32" s="1108"/>
      <c r="AY32" s="1108"/>
      <c r="AZ32" s="1108"/>
      <c r="BA32" s="1108"/>
      <c r="BB32" s="1108"/>
      <c r="BC32" s="1108"/>
      <c r="BD32" s="1108"/>
      <c r="BE32" s="1108"/>
      <c r="BF32" s="1108"/>
      <c r="BG32" s="1108"/>
      <c r="BH32" s="1108"/>
      <c r="BI32" s="1108"/>
      <c r="BJ32" s="1108"/>
      <c r="BK32" s="1108"/>
      <c r="BL32" s="1108"/>
      <c r="BM32" s="1108"/>
      <c r="BN32" s="1108"/>
      <c r="BO32" s="1108"/>
      <c r="BP32" s="1108"/>
      <c r="BQ32" s="1108"/>
      <c r="BR32" s="1108"/>
      <c r="BS32" s="1108"/>
      <c r="BT32" s="1108"/>
      <c r="BU32" s="1108"/>
      <c r="BV32" s="1108"/>
      <c r="BW32" s="1108"/>
      <c r="BX32" s="1108"/>
      <c r="BY32" s="1108"/>
      <c r="BZ32" s="1108"/>
      <c r="CA32" s="1108"/>
      <c r="CB32" s="1108"/>
      <c r="CC32" s="1108"/>
      <c r="CD32" s="1108"/>
      <c r="CE32" s="1108"/>
      <c r="CF32" s="1108"/>
      <c r="CG32" s="1108"/>
      <c r="CH32" s="1108"/>
      <c r="CI32" s="1108"/>
      <c r="CJ32" s="1108"/>
      <c r="CK32" s="1108"/>
      <c r="CL32" s="1108"/>
      <c r="CM32" s="1108"/>
      <c r="CN32" s="1108"/>
      <c r="CO32" s="1108"/>
      <c r="CP32" s="1108"/>
      <c r="CQ32" s="1108"/>
      <c r="CR32" s="1108"/>
      <c r="CS32" s="1108"/>
      <c r="CT32" s="1108"/>
      <c r="CU32" s="1108"/>
      <c r="CV32" s="1108"/>
      <c r="CW32" s="1108"/>
      <c r="CX32" s="1108"/>
      <c r="CY32" s="1108"/>
      <c r="CZ32" s="1108"/>
      <c r="DA32" s="1108"/>
      <c r="DB32" s="1108"/>
      <c r="DC32" s="1108"/>
      <c r="DD32" s="1108"/>
      <c r="DE32" s="1108"/>
      <c r="DF32" s="1108"/>
      <c r="DG32" s="1108"/>
      <c r="DH32" s="1108"/>
      <c r="DI32" s="1108"/>
      <c r="DJ32" s="1108"/>
      <c r="DK32" s="1108"/>
      <c r="DL32" s="1108"/>
      <c r="DM32" s="1108"/>
      <c r="DN32" s="1108"/>
      <c r="DO32" s="1108"/>
      <c r="DP32" s="1108"/>
      <c r="DQ32" s="1108"/>
      <c r="DR32" s="1108"/>
      <c r="DS32" s="1108"/>
      <c r="DT32" s="1108"/>
      <c r="DU32" s="1108"/>
      <c r="DV32" s="1108"/>
      <c r="DW32" s="1108"/>
      <c r="DX32" s="1108"/>
      <c r="DY32" s="1108"/>
      <c r="DZ32" s="1108"/>
      <c r="EA32" s="1108"/>
      <c r="EB32" s="1108"/>
      <c r="EC32" s="1108"/>
      <c r="ED32" s="1108"/>
      <c r="EE32" s="1108"/>
      <c r="EF32" s="1108"/>
      <c r="EG32" s="1108"/>
      <c r="EH32" s="1108"/>
      <c r="EI32" s="1108"/>
      <c r="EJ32" s="1108"/>
      <c r="EK32" s="1108"/>
      <c r="EL32" s="1108"/>
      <c r="EM32" s="1108"/>
      <c r="EN32" s="1108"/>
      <c r="EO32" s="1108"/>
      <c r="EP32" s="1108"/>
      <c r="EQ32" s="1108"/>
      <c r="ER32" s="1108"/>
      <c r="ES32" s="1108"/>
      <c r="ET32" s="1108"/>
      <c r="EU32" s="1108"/>
      <c r="EV32" s="1108"/>
      <c r="EW32" s="1108"/>
      <c r="EX32" s="1108"/>
      <c r="EY32" s="1108"/>
      <c r="EZ32" s="1108"/>
      <c r="FA32" s="1108"/>
      <c r="FB32" s="1108"/>
      <c r="FC32" s="1108"/>
      <c r="FD32" s="1108"/>
      <c r="FE32" s="1108"/>
      <c r="FF32" s="1108"/>
      <c r="FG32" s="1108"/>
      <c r="FH32" s="1108"/>
      <c r="FI32" s="1108"/>
      <c r="FJ32" s="1108"/>
      <c r="FK32" s="1108"/>
      <c r="FL32" s="1108"/>
      <c r="FM32" s="1108"/>
      <c r="FN32" s="1108"/>
      <c r="FO32" s="1108"/>
      <c r="FP32" s="1108"/>
      <c r="FQ32" s="1108"/>
      <c r="FR32" s="1108"/>
      <c r="FS32" s="1108"/>
      <c r="FT32" s="1108"/>
      <c r="FU32" s="1108"/>
      <c r="FV32" s="1108"/>
      <c r="FW32" s="1108"/>
      <c r="FX32" s="1108"/>
      <c r="FY32" s="1108"/>
      <c r="FZ32" s="1108"/>
      <c r="GA32" s="1108"/>
      <c r="GB32" s="1108"/>
      <c r="GC32" s="1108"/>
      <c r="GD32" s="1108"/>
      <c r="GE32" s="1108"/>
      <c r="GF32" s="1108"/>
      <c r="GG32" s="1108"/>
      <c r="GH32" s="1108"/>
      <c r="GI32" s="1108"/>
      <c r="GJ32" s="1108"/>
      <c r="GK32" s="1108"/>
      <c r="GL32" s="1108"/>
      <c r="GM32" s="1108"/>
      <c r="GN32" s="1108"/>
      <c r="GO32" s="1108"/>
      <c r="GP32" s="1108"/>
      <c r="GQ32" s="1108"/>
      <c r="GR32" s="1108"/>
      <c r="GS32" s="1108"/>
      <c r="GT32" s="1108"/>
      <c r="GU32" s="1108"/>
      <c r="GV32" s="1108"/>
      <c r="GW32" s="1108"/>
      <c r="GX32" s="1108"/>
      <c r="GY32" s="1108"/>
      <c r="GZ32" s="1108"/>
      <c r="HA32" s="1108"/>
      <c r="HB32" s="1108"/>
      <c r="HC32" s="1108"/>
      <c r="HD32" s="1108"/>
      <c r="HE32" s="1108"/>
      <c r="HF32" s="1108"/>
      <c r="HG32" s="1108"/>
      <c r="HH32" s="1108"/>
      <c r="HI32" s="1108"/>
      <c r="HJ32" s="1108"/>
      <c r="HK32" s="1108"/>
      <c r="HL32" s="1108"/>
      <c r="HM32" s="1108"/>
      <c r="HN32" s="1108"/>
      <c r="HO32" s="1108"/>
      <c r="HP32" s="1108"/>
      <c r="HQ32" s="1108"/>
      <c r="HR32" s="1108"/>
      <c r="HS32" s="1108"/>
      <c r="HT32" s="1108"/>
      <c r="HU32" s="1108"/>
      <c r="HV32" s="1108"/>
      <c r="HW32" s="1108"/>
      <c r="HX32" s="1108"/>
      <c r="HY32" s="1108"/>
      <c r="HZ32" s="1108"/>
      <c r="IA32" s="1108"/>
      <c r="IB32" s="1108"/>
      <c r="IC32" s="1108"/>
      <c r="ID32" s="1108"/>
      <c r="IE32" s="1108"/>
      <c r="IF32" s="1108"/>
      <c r="IG32" s="1108"/>
      <c r="IH32" s="1108"/>
      <c r="II32" s="1108"/>
      <c r="IJ32" s="1108"/>
      <c r="IK32" s="1108"/>
      <c r="IL32" s="1108"/>
      <c r="IM32" s="1108"/>
      <c r="IN32" s="1108"/>
      <c r="IO32" s="1108"/>
      <c r="IP32" s="1108"/>
      <c r="IQ32" s="1108"/>
      <c r="IR32" s="1108"/>
      <c r="IS32" s="1108"/>
      <c r="IT32" s="1108"/>
      <c r="IU32" s="1108"/>
    </row>
    <row r="33" spans="1:255">
      <c r="A33" s="1108"/>
      <c r="B33" s="3083"/>
      <c r="D33" s="1131"/>
      <c r="E33" s="1131"/>
      <c r="F33" s="1131"/>
      <c r="G33" s="1131"/>
      <c r="H33" s="1131"/>
      <c r="I33" s="1131"/>
      <c r="J33" s="1248"/>
      <c r="M33" s="1126"/>
    </row>
    <row r="34" spans="1:255">
      <c r="A34" s="1108" t="s">
        <v>1123</v>
      </c>
      <c r="B34" s="3084"/>
      <c r="C34" s="1108"/>
      <c r="D34" s="1108"/>
      <c r="E34" s="1108"/>
      <c r="F34" s="1108"/>
      <c r="G34" s="1108"/>
      <c r="H34" s="1108"/>
      <c r="I34" s="1108"/>
      <c r="J34" s="1249"/>
      <c r="M34" s="1126"/>
    </row>
    <row r="35" spans="1:255">
      <c r="A35" s="1108"/>
      <c r="B35" s="3084"/>
      <c r="C35" s="1108"/>
      <c r="D35" s="1132"/>
      <c r="E35" s="1132"/>
      <c r="F35" s="1132"/>
      <c r="G35" s="1132"/>
      <c r="H35" s="1132"/>
      <c r="I35" s="1132"/>
      <c r="J35" s="1250"/>
      <c r="M35" s="1126"/>
    </row>
    <row r="36" spans="1:255">
      <c r="A36" s="1108"/>
      <c r="B36" s="3082" t="s">
        <v>1157</v>
      </c>
      <c r="D36" s="1121" t="s">
        <v>1189</v>
      </c>
      <c r="E36" s="1121"/>
      <c r="F36" s="1121"/>
      <c r="G36" s="1121"/>
      <c r="H36" s="1121"/>
      <c r="I36" s="1121"/>
      <c r="J36" s="1248">
        <v>20</v>
      </c>
      <c r="M36" s="1126"/>
    </row>
    <row r="37" spans="1:255">
      <c r="A37" s="1108"/>
      <c r="B37" s="3087" t="s">
        <v>1124</v>
      </c>
      <c r="D37" s="1131" t="s">
        <v>1181</v>
      </c>
      <c r="E37" s="1131"/>
      <c r="F37" s="1131"/>
      <c r="G37" s="1131"/>
      <c r="H37" s="1131"/>
      <c r="I37" s="1131"/>
      <c r="J37" s="1248">
        <v>22</v>
      </c>
      <c r="M37" s="1126"/>
    </row>
    <row r="38" spans="1:255">
      <c r="A38" s="1108"/>
      <c r="B38" s="3087" t="s">
        <v>1158</v>
      </c>
      <c r="D38" s="1128" t="s">
        <v>1125</v>
      </c>
      <c r="E38" s="1128"/>
      <c r="F38" s="1128"/>
      <c r="G38" s="1128"/>
      <c r="H38" s="1128"/>
      <c r="I38" s="1128"/>
      <c r="J38" s="1248">
        <v>24</v>
      </c>
      <c r="M38" s="1126"/>
    </row>
    <row r="39" spans="1:255">
      <c r="A39" s="1108"/>
      <c r="B39" s="3087" t="s">
        <v>1159</v>
      </c>
      <c r="D39" s="1128" t="s">
        <v>1182</v>
      </c>
      <c r="E39" s="1128"/>
      <c r="F39" s="1128"/>
      <c r="G39" s="1128"/>
      <c r="H39" s="1128"/>
      <c r="I39" s="1128"/>
      <c r="J39" s="1248">
        <v>26</v>
      </c>
      <c r="M39" s="1126"/>
    </row>
    <row r="40" spans="1:255">
      <c r="A40" s="1108"/>
      <c r="B40" s="3082" t="s">
        <v>1126</v>
      </c>
      <c r="D40" s="1128" t="s">
        <v>1421</v>
      </c>
      <c r="E40" s="1128"/>
      <c r="F40" s="1128"/>
      <c r="G40" s="1128"/>
      <c r="H40" s="1128"/>
      <c r="I40" s="1128"/>
      <c r="J40" s="1248">
        <v>28</v>
      </c>
      <c r="M40" s="1126"/>
    </row>
    <row r="41" spans="1:255">
      <c r="A41" s="1108"/>
      <c r="B41" s="3087" t="s">
        <v>1127</v>
      </c>
      <c r="D41" s="1128" t="s">
        <v>1341</v>
      </c>
      <c r="E41" s="1128"/>
      <c r="F41" s="1128"/>
      <c r="G41" s="1128"/>
      <c r="H41" s="1128"/>
      <c r="I41" s="1128"/>
      <c r="J41" s="1248">
        <v>29</v>
      </c>
      <c r="M41" s="1126"/>
    </row>
    <row r="42" spans="1:255">
      <c r="A42" s="1108"/>
      <c r="B42" s="3082" t="s">
        <v>1160</v>
      </c>
      <c r="D42" s="1128" t="s">
        <v>1183</v>
      </c>
      <c r="E42" s="1128"/>
      <c r="F42" s="1128"/>
      <c r="G42" s="1128"/>
      <c r="H42" s="1128"/>
      <c r="I42" s="1128"/>
      <c r="J42" s="1248">
        <v>31</v>
      </c>
      <c r="M42" s="1126"/>
    </row>
    <row r="43" spans="1:255">
      <c r="A43" s="1108"/>
      <c r="B43" s="3087" t="s">
        <v>1161</v>
      </c>
      <c r="D43" s="1128" t="s">
        <v>1185</v>
      </c>
      <c r="E43" s="1128"/>
      <c r="F43" s="1128"/>
      <c r="G43" s="1128"/>
      <c r="H43" s="1128"/>
      <c r="I43" s="1128"/>
      <c r="J43" s="1248">
        <v>33</v>
      </c>
      <c r="M43" s="1126"/>
    </row>
    <row r="44" spans="1:255">
      <c r="A44" s="1108"/>
      <c r="B44" s="3082" t="s">
        <v>1128</v>
      </c>
      <c r="D44" s="1128" t="s">
        <v>1190</v>
      </c>
      <c r="E44" s="1128"/>
      <c r="F44" s="1128"/>
      <c r="G44" s="1128"/>
      <c r="H44" s="1128"/>
      <c r="I44" s="1128"/>
      <c r="J44" s="1248">
        <v>34</v>
      </c>
      <c r="M44" s="1126"/>
    </row>
    <row r="45" spans="1:255">
      <c r="A45" s="1108"/>
      <c r="B45" s="3082" t="s">
        <v>1129</v>
      </c>
      <c r="D45" s="1128" t="s">
        <v>1186</v>
      </c>
      <c r="E45" s="1128"/>
      <c r="F45" s="1128"/>
      <c r="G45" s="1128"/>
      <c r="H45" s="1128"/>
      <c r="I45" s="1128"/>
      <c r="J45" s="1248">
        <v>35</v>
      </c>
      <c r="M45" s="1126"/>
    </row>
    <row r="46" spans="1:255">
      <c r="A46" s="1108"/>
      <c r="B46" s="3082" t="s">
        <v>1130</v>
      </c>
      <c r="D46" s="1128" t="s">
        <v>1187</v>
      </c>
      <c r="E46" s="1128"/>
      <c r="F46" s="1128"/>
      <c r="G46" s="1128"/>
      <c r="H46" s="1128"/>
      <c r="I46" s="1128"/>
      <c r="J46" s="1248">
        <v>36</v>
      </c>
      <c r="M46" s="1126"/>
    </row>
    <row r="47" spans="1:255">
      <c r="A47" s="1108"/>
      <c r="B47" s="3082" t="s">
        <v>1131</v>
      </c>
      <c r="D47" s="1129" t="s">
        <v>1188</v>
      </c>
      <c r="E47" s="1129"/>
      <c r="F47" s="1129"/>
      <c r="G47" s="1129"/>
      <c r="H47" s="1129"/>
      <c r="I47" s="1129"/>
      <c r="J47" s="1248">
        <v>37</v>
      </c>
      <c r="K47" s="1108"/>
      <c r="L47" s="1108"/>
      <c r="M47" s="1108"/>
      <c r="N47" s="1108"/>
      <c r="O47" s="1108"/>
      <c r="P47" s="1108"/>
      <c r="Q47" s="1108"/>
      <c r="R47" s="1108"/>
      <c r="S47" s="1108"/>
      <c r="T47" s="1108"/>
      <c r="U47" s="1108"/>
      <c r="V47" s="1108"/>
      <c r="W47" s="1108"/>
      <c r="X47" s="1108"/>
      <c r="Y47" s="1108"/>
      <c r="Z47" s="1108"/>
      <c r="AA47" s="1108"/>
      <c r="AB47" s="1108"/>
      <c r="AC47" s="1108"/>
      <c r="AD47" s="1108"/>
      <c r="AE47" s="1108"/>
      <c r="AF47" s="1108"/>
      <c r="AG47" s="1108"/>
      <c r="AH47" s="1108"/>
      <c r="AI47" s="1108"/>
      <c r="AJ47" s="1108"/>
      <c r="AK47" s="1108"/>
      <c r="AL47" s="1108"/>
      <c r="AM47" s="1108"/>
      <c r="AN47" s="1108"/>
      <c r="AO47" s="1108"/>
      <c r="AP47" s="1108"/>
      <c r="AQ47" s="1108"/>
      <c r="AR47" s="1108"/>
      <c r="AS47" s="1108"/>
      <c r="AT47" s="1108"/>
      <c r="AU47" s="1108"/>
      <c r="AV47" s="1108"/>
      <c r="AW47" s="1108"/>
      <c r="AX47" s="1108"/>
      <c r="AY47" s="1108"/>
      <c r="AZ47" s="1108"/>
      <c r="BA47" s="1108"/>
      <c r="BB47" s="1108"/>
      <c r="BC47" s="1108"/>
      <c r="BD47" s="1108"/>
      <c r="BE47" s="1108"/>
      <c r="BF47" s="1108"/>
      <c r="BG47" s="1108"/>
      <c r="BH47" s="1108"/>
      <c r="BI47" s="1108"/>
      <c r="BJ47" s="1108"/>
      <c r="BK47" s="1108"/>
      <c r="BL47" s="1108"/>
      <c r="BM47" s="1108"/>
      <c r="BN47" s="1108"/>
      <c r="BO47" s="1108"/>
      <c r="BP47" s="1108"/>
      <c r="BQ47" s="1108"/>
      <c r="BR47" s="1108"/>
      <c r="BS47" s="1108"/>
      <c r="BT47" s="1108"/>
      <c r="BU47" s="1108"/>
      <c r="BV47" s="1108"/>
      <c r="BW47" s="1108"/>
      <c r="BX47" s="1108"/>
      <c r="BY47" s="1108"/>
      <c r="BZ47" s="1108"/>
      <c r="CA47" s="1108"/>
      <c r="CB47" s="1108"/>
      <c r="CC47" s="1108"/>
      <c r="CD47" s="1108"/>
      <c r="CE47" s="1108"/>
      <c r="CF47" s="1108"/>
      <c r="CG47" s="1108"/>
      <c r="CH47" s="1108"/>
      <c r="CI47" s="1108"/>
      <c r="CJ47" s="1108"/>
      <c r="CK47" s="1108"/>
      <c r="CL47" s="1108"/>
      <c r="CM47" s="1108"/>
      <c r="CN47" s="1108"/>
      <c r="CO47" s="1108"/>
      <c r="CP47" s="1108"/>
      <c r="CQ47" s="1108"/>
      <c r="CR47" s="1108"/>
      <c r="CS47" s="1108"/>
      <c r="CT47" s="1108"/>
      <c r="CU47" s="1108"/>
      <c r="CV47" s="1108"/>
      <c r="CW47" s="1108"/>
      <c r="CX47" s="1108"/>
      <c r="CY47" s="1108"/>
      <c r="CZ47" s="1108"/>
      <c r="DA47" s="1108"/>
      <c r="DB47" s="1108"/>
      <c r="DC47" s="1108"/>
      <c r="DD47" s="1108"/>
      <c r="DE47" s="1108"/>
      <c r="DF47" s="1108"/>
      <c r="DG47" s="1108"/>
      <c r="DH47" s="1108"/>
      <c r="DI47" s="1108"/>
      <c r="DJ47" s="1108"/>
      <c r="DK47" s="1108"/>
      <c r="DL47" s="1108"/>
      <c r="DM47" s="1108"/>
      <c r="DN47" s="1108"/>
      <c r="DO47" s="1108"/>
      <c r="DP47" s="1108"/>
      <c r="DQ47" s="1108"/>
      <c r="DR47" s="1108"/>
      <c r="DS47" s="1108"/>
      <c r="DT47" s="1108"/>
      <c r="DU47" s="1108"/>
      <c r="DV47" s="1108"/>
      <c r="DW47" s="1108"/>
      <c r="DX47" s="1108"/>
      <c r="DY47" s="1108"/>
      <c r="DZ47" s="1108"/>
      <c r="EA47" s="1108"/>
      <c r="EB47" s="1108"/>
      <c r="EC47" s="1108"/>
      <c r="ED47" s="1108"/>
      <c r="EE47" s="1108"/>
      <c r="EF47" s="1108"/>
      <c r="EG47" s="1108"/>
      <c r="EH47" s="1108"/>
      <c r="EI47" s="1108"/>
      <c r="EJ47" s="1108"/>
      <c r="EK47" s="1108"/>
      <c r="EL47" s="1108"/>
      <c r="EM47" s="1108"/>
      <c r="EN47" s="1108"/>
      <c r="EO47" s="1108"/>
      <c r="EP47" s="1108"/>
      <c r="EQ47" s="1108"/>
      <c r="ER47" s="1108"/>
      <c r="ES47" s="1108"/>
      <c r="ET47" s="1108"/>
      <c r="EU47" s="1108"/>
      <c r="EV47" s="1108"/>
      <c r="EW47" s="1108"/>
      <c r="EX47" s="1108"/>
      <c r="EY47" s="1108"/>
      <c r="EZ47" s="1108"/>
      <c r="FA47" s="1108"/>
      <c r="FB47" s="1108"/>
      <c r="FC47" s="1108"/>
      <c r="FD47" s="1108"/>
      <c r="FE47" s="1108"/>
      <c r="FF47" s="1108"/>
      <c r="FG47" s="1108"/>
      <c r="FH47" s="1108"/>
      <c r="FI47" s="1108"/>
      <c r="FJ47" s="1108"/>
      <c r="FK47" s="1108"/>
      <c r="FL47" s="1108"/>
      <c r="FM47" s="1108"/>
      <c r="FN47" s="1108"/>
      <c r="FO47" s="1108"/>
      <c r="FP47" s="1108"/>
      <c r="FQ47" s="1108"/>
      <c r="FR47" s="1108"/>
      <c r="FS47" s="1108"/>
      <c r="FT47" s="1108"/>
      <c r="FU47" s="1108"/>
      <c r="FV47" s="1108"/>
      <c r="FW47" s="1108"/>
      <c r="FX47" s="1108"/>
      <c r="FY47" s="1108"/>
      <c r="FZ47" s="1108"/>
      <c r="GA47" s="1108"/>
      <c r="GB47" s="1108"/>
      <c r="GC47" s="1108"/>
      <c r="GD47" s="1108"/>
      <c r="GE47" s="1108"/>
      <c r="GF47" s="1108"/>
      <c r="GG47" s="1108"/>
      <c r="GH47" s="1108"/>
      <c r="GI47" s="1108"/>
      <c r="GJ47" s="1108"/>
      <c r="GK47" s="1108"/>
      <c r="GL47" s="1108"/>
      <c r="GM47" s="1108"/>
      <c r="GN47" s="1108"/>
      <c r="GO47" s="1108"/>
      <c r="GP47" s="1108"/>
      <c r="GQ47" s="1108"/>
      <c r="GR47" s="1108"/>
      <c r="GS47" s="1108"/>
      <c r="GT47" s="1108"/>
      <c r="GU47" s="1108"/>
      <c r="GV47" s="1108"/>
      <c r="GW47" s="1108"/>
      <c r="GX47" s="1108"/>
      <c r="GY47" s="1108"/>
      <c r="GZ47" s="1108"/>
      <c r="HA47" s="1108"/>
      <c r="HB47" s="1108"/>
      <c r="HC47" s="1108"/>
      <c r="HD47" s="1108"/>
      <c r="HE47" s="1108"/>
      <c r="HF47" s="1108"/>
      <c r="HG47" s="1108"/>
      <c r="HH47" s="1108"/>
      <c r="HI47" s="1108"/>
      <c r="HJ47" s="1108"/>
      <c r="HK47" s="1108"/>
      <c r="HL47" s="1108"/>
      <c r="HM47" s="1108"/>
      <c r="HN47" s="1108"/>
      <c r="HO47" s="1108"/>
      <c r="HP47" s="1108"/>
      <c r="HQ47" s="1108"/>
      <c r="HR47" s="1108"/>
      <c r="HS47" s="1108"/>
      <c r="HT47" s="1108"/>
      <c r="HU47" s="1108"/>
      <c r="HV47" s="1108"/>
      <c r="HW47" s="1108"/>
      <c r="HX47" s="1108"/>
      <c r="HY47" s="1108"/>
      <c r="HZ47" s="1108"/>
      <c r="IA47" s="1108"/>
      <c r="IB47" s="1108"/>
      <c r="IC47" s="1108"/>
      <c r="ID47" s="1108"/>
      <c r="IE47" s="1108"/>
      <c r="IF47" s="1108"/>
      <c r="IG47" s="1108"/>
      <c r="IH47" s="1108"/>
      <c r="II47" s="1108"/>
      <c r="IJ47" s="1108"/>
      <c r="IK47" s="1108"/>
      <c r="IL47" s="1108"/>
      <c r="IM47" s="1108"/>
      <c r="IN47" s="1108"/>
      <c r="IO47" s="1108"/>
      <c r="IP47" s="1108"/>
      <c r="IQ47" s="1108"/>
      <c r="IR47" s="1108"/>
      <c r="IS47" s="1108"/>
      <c r="IT47" s="1108"/>
      <c r="IU47" s="1108"/>
    </row>
    <row r="48" spans="1:255">
      <c r="A48" s="1108"/>
      <c r="B48" s="3083"/>
      <c r="D48" s="1131"/>
      <c r="E48" s="1131"/>
      <c r="F48" s="1131"/>
      <c r="G48" s="1131"/>
      <c r="H48" s="1131"/>
      <c r="I48" s="1131"/>
      <c r="J48" s="1248"/>
      <c r="M48" s="1126"/>
    </row>
    <row r="49" spans="1:13">
      <c r="A49" s="1108" t="s">
        <v>1132</v>
      </c>
      <c r="B49" s="3083"/>
      <c r="D49" s="1131"/>
      <c r="E49" s="1131"/>
      <c r="F49" s="1131"/>
      <c r="G49" s="1131"/>
      <c r="H49" s="1131"/>
      <c r="I49" s="1131"/>
      <c r="J49" s="1248"/>
      <c r="M49" s="1126"/>
    </row>
    <row r="50" spans="1:13">
      <c r="A50" s="1108"/>
      <c r="B50" s="3084"/>
      <c r="C50" s="1108"/>
      <c r="D50" s="1132"/>
      <c r="E50" s="1132"/>
      <c r="F50" s="1132"/>
      <c r="G50" s="1132"/>
      <c r="H50" s="1132"/>
      <c r="I50" s="1132"/>
      <c r="J50" s="1249"/>
      <c r="M50" s="1126"/>
    </row>
    <row r="51" spans="1:13">
      <c r="A51" s="1108"/>
      <c r="B51" s="3082" t="s">
        <v>1133</v>
      </c>
      <c r="D51" s="1131" t="s">
        <v>1191</v>
      </c>
      <c r="E51" s="1131"/>
      <c r="F51" s="1131"/>
      <c r="G51" s="1131"/>
      <c r="H51" s="1131"/>
      <c r="I51" s="1131"/>
      <c r="J51" s="1248">
        <v>38</v>
      </c>
      <c r="M51" s="1126"/>
    </row>
    <row r="52" spans="1:13">
      <c r="A52" s="1108"/>
      <c r="B52" s="3082" t="s">
        <v>1134</v>
      </c>
      <c r="D52" s="1128" t="s">
        <v>1192</v>
      </c>
      <c r="E52" s="1128"/>
      <c r="F52" s="1128"/>
      <c r="G52" s="1128"/>
      <c r="H52" s="1128"/>
      <c r="I52" s="1128"/>
      <c r="J52" s="1248">
        <v>41</v>
      </c>
      <c r="M52" s="1126"/>
    </row>
    <row r="53" spans="1:13">
      <c r="A53" s="1108"/>
      <c r="B53" s="3082" t="s">
        <v>1135</v>
      </c>
      <c r="D53" s="1128" t="s">
        <v>1193</v>
      </c>
      <c r="E53" s="1128"/>
      <c r="F53" s="1128"/>
      <c r="G53" s="1128"/>
      <c r="H53" s="1128"/>
      <c r="I53" s="1128"/>
      <c r="J53" s="1248">
        <v>42</v>
      </c>
      <c r="M53" s="1126"/>
    </row>
    <row r="54" spans="1:13">
      <c r="A54" s="1108"/>
      <c r="B54" s="3082" t="s">
        <v>1136</v>
      </c>
      <c r="D54" s="1128" t="s">
        <v>1196</v>
      </c>
      <c r="E54" s="1128"/>
      <c r="F54" s="1128"/>
      <c r="G54" s="1128"/>
      <c r="H54" s="1128"/>
      <c r="I54" s="1128"/>
      <c r="J54" s="1248">
        <v>43</v>
      </c>
      <c r="M54" s="1126"/>
    </row>
    <row r="55" spans="1:13">
      <c r="A55" s="1108"/>
      <c r="B55" s="3082" t="s">
        <v>1137</v>
      </c>
      <c r="D55" s="1128" t="s">
        <v>1194</v>
      </c>
      <c r="E55" s="1128"/>
      <c r="F55" s="1128"/>
      <c r="G55" s="1128"/>
      <c r="H55" s="1128"/>
      <c r="I55" s="1128"/>
      <c r="J55" s="1248">
        <v>44</v>
      </c>
      <c r="K55" s="1133"/>
      <c r="M55" s="1126"/>
    </row>
    <row r="56" spans="1:13">
      <c r="A56" s="1108"/>
      <c r="B56" s="3082" t="s">
        <v>1138</v>
      </c>
      <c r="D56" s="1128" t="s">
        <v>1195</v>
      </c>
      <c r="E56" s="1128"/>
      <c r="F56" s="1128"/>
      <c r="G56" s="1128"/>
      <c r="H56" s="1128"/>
      <c r="I56" s="1128"/>
      <c r="J56" s="1248">
        <v>45</v>
      </c>
      <c r="K56" s="1119"/>
    </row>
    <row r="57" spans="1:13">
      <c r="A57" s="1108"/>
      <c r="B57" s="3082" t="s">
        <v>1139</v>
      </c>
      <c r="D57" s="1129" t="s">
        <v>1140</v>
      </c>
      <c r="E57" s="1129"/>
      <c r="F57" s="1129"/>
      <c r="G57" s="1129"/>
      <c r="H57" s="1129"/>
      <c r="I57" s="1129"/>
      <c r="J57" s="1248">
        <v>46</v>
      </c>
      <c r="K57" s="1119"/>
    </row>
    <row r="58" spans="1:13">
      <c r="A58" s="1108"/>
      <c r="B58" s="3085" t="s">
        <v>1162</v>
      </c>
      <c r="D58" s="1121" t="s">
        <v>1141</v>
      </c>
      <c r="E58" s="1121"/>
      <c r="F58" s="1121"/>
      <c r="G58" s="1121"/>
      <c r="H58" s="1121"/>
      <c r="I58" s="1121"/>
      <c r="J58" s="1248">
        <v>47</v>
      </c>
      <c r="K58" s="1119"/>
      <c r="M58" s="1126"/>
    </row>
    <row r="59" spans="1:13">
      <c r="A59" s="1108"/>
      <c r="B59" s="3086" t="s">
        <v>1163</v>
      </c>
      <c r="D59" s="1124" t="s">
        <v>1142</v>
      </c>
      <c r="E59" s="1124"/>
      <c r="F59" s="1124"/>
      <c r="G59" s="1124"/>
      <c r="H59" s="1124"/>
      <c r="I59" s="1124"/>
      <c r="J59" s="1248">
        <v>48</v>
      </c>
      <c r="K59" s="1119"/>
      <c r="M59" s="1126"/>
    </row>
    <row r="60" spans="1:13">
      <c r="A60" s="1108"/>
      <c r="B60" s="3086" t="s">
        <v>1164</v>
      </c>
      <c r="D60" s="1124" t="s">
        <v>1197</v>
      </c>
      <c r="E60" s="1124"/>
      <c r="F60" s="1124"/>
      <c r="G60" s="1124"/>
      <c r="H60" s="1124"/>
      <c r="I60" s="1124"/>
      <c r="J60" s="1248">
        <v>50</v>
      </c>
      <c r="K60" s="1119"/>
      <c r="M60" s="1126"/>
    </row>
    <row r="61" spans="1:13">
      <c r="A61" s="1108"/>
      <c r="B61" s="3086" t="s">
        <v>1165</v>
      </c>
      <c r="D61" s="1134" t="s">
        <v>1143</v>
      </c>
      <c r="E61" s="1124"/>
      <c r="F61" s="1134"/>
      <c r="G61" s="1124"/>
      <c r="H61" s="1124"/>
      <c r="I61" s="1124"/>
      <c r="J61" s="1248">
        <v>52</v>
      </c>
      <c r="K61" s="1119"/>
      <c r="M61" s="1126"/>
    </row>
    <row r="62" spans="1:13">
      <c r="A62" s="1108"/>
      <c r="B62" s="3086" t="s">
        <v>1166</v>
      </c>
      <c r="D62" s="1124" t="s">
        <v>1144</v>
      </c>
      <c r="E62" s="1124"/>
      <c r="F62" s="1124"/>
      <c r="G62" s="1124"/>
      <c r="H62" s="1124"/>
      <c r="I62" s="1124"/>
      <c r="J62" s="1248">
        <v>53</v>
      </c>
      <c r="K62" s="1131"/>
      <c r="M62" s="1126"/>
    </row>
    <row r="63" spans="1:13">
      <c r="A63" s="1108"/>
      <c r="B63" s="3086" t="s">
        <v>1167</v>
      </c>
      <c r="D63" s="1124" t="s">
        <v>1319</v>
      </c>
      <c r="E63" s="1124"/>
      <c r="F63" s="1124"/>
      <c r="G63" s="1124"/>
      <c r="H63" s="1125"/>
      <c r="I63" s="1124"/>
      <c r="J63" s="1248">
        <v>54</v>
      </c>
      <c r="K63" s="1131"/>
      <c r="M63" s="1126"/>
    </row>
    <row r="64" spans="1:13">
      <c r="A64" s="1108"/>
      <c r="B64" s="3086" t="s">
        <v>1168</v>
      </c>
      <c r="D64" s="1124" t="s">
        <v>1145</v>
      </c>
      <c r="E64" s="1124"/>
      <c r="F64" s="1124"/>
      <c r="G64" s="1124"/>
      <c r="H64" s="1125"/>
      <c r="I64" s="1124"/>
      <c r="J64" s="1248">
        <v>55</v>
      </c>
      <c r="K64" s="1131"/>
      <c r="M64" s="1126"/>
    </row>
    <row r="65" spans="1:13">
      <c r="A65" s="1108"/>
      <c r="B65" s="1135"/>
      <c r="D65" s="1136"/>
      <c r="E65" s="1136"/>
      <c r="F65" s="1136"/>
      <c r="G65" s="1136"/>
      <c r="H65" s="1136"/>
      <c r="I65" s="1136"/>
      <c r="J65" s="1123"/>
      <c r="K65" s="1131"/>
      <c r="M65" s="1126"/>
    </row>
    <row r="66" spans="1:13" ht="12.95" customHeight="1">
      <c r="A66" s="1108"/>
      <c r="B66" s="1135"/>
      <c r="D66" s="1136"/>
      <c r="E66" s="1136"/>
      <c r="F66" s="1136"/>
      <c r="G66" s="1136"/>
      <c r="H66" s="1136"/>
      <c r="I66" s="1136"/>
      <c r="J66" s="1123"/>
      <c r="K66" s="1131"/>
      <c r="M66" s="1126"/>
    </row>
    <row r="67" spans="1:13" ht="12.95" customHeight="1">
      <c r="A67" s="1108"/>
      <c r="B67" s="1135"/>
      <c r="D67" s="1136"/>
      <c r="E67" s="1136"/>
      <c r="F67" s="1136"/>
      <c r="G67" s="1136"/>
      <c r="H67" s="1136"/>
      <c r="I67" s="1136"/>
      <c r="J67" s="1123"/>
      <c r="K67" s="1131"/>
      <c r="M67" s="1126"/>
    </row>
    <row r="68" spans="1:13" ht="12.95" customHeight="1">
      <c r="A68" s="1108"/>
      <c r="B68" s="1135"/>
      <c r="D68" s="1136"/>
      <c r="E68" s="1136"/>
      <c r="F68" s="1136"/>
      <c r="G68" s="1136"/>
      <c r="H68" s="1136"/>
      <c r="I68" s="1136"/>
      <c r="J68" s="1123"/>
      <c r="K68" s="1131"/>
      <c r="M68" s="1126"/>
    </row>
    <row r="69" spans="1:13" ht="12.95" customHeight="1">
      <c r="A69" s="1108"/>
      <c r="B69" s="1135"/>
      <c r="D69" s="1136"/>
      <c r="E69" s="1136"/>
      <c r="F69" s="1136"/>
      <c r="G69" s="1136"/>
      <c r="H69" s="1136"/>
      <c r="I69" s="1136"/>
      <c r="J69" s="1123"/>
      <c r="K69" s="1131"/>
      <c r="M69" s="1126"/>
    </row>
    <row r="70" spans="1:13" ht="12.95" customHeight="1">
      <c r="A70" s="1108"/>
      <c r="B70" s="1135"/>
      <c r="D70" s="1136"/>
      <c r="E70" s="1136"/>
      <c r="F70" s="1136"/>
      <c r="G70" s="1136"/>
      <c r="H70" s="1136"/>
      <c r="I70" s="1136"/>
      <c r="J70" s="1123"/>
      <c r="K70" s="1131"/>
      <c r="M70" s="1126"/>
    </row>
    <row r="71" spans="1:13" ht="12.95" customHeight="1">
      <c r="A71" s="1108"/>
      <c r="B71" s="1135"/>
      <c r="D71" s="1136"/>
      <c r="E71" s="1136"/>
      <c r="F71" s="1136"/>
      <c r="G71" s="1136"/>
      <c r="H71" s="1136"/>
      <c r="I71" s="1136"/>
      <c r="J71" s="1123"/>
      <c r="K71" s="1131"/>
      <c r="M71" s="1126"/>
    </row>
    <row r="72" spans="1:13" ht="12.95" customHeight="1">
      <c r="A72" s="1108"/>
      <c r="B72" s="1135"/>
      <c r="D72" s="1136"/>
      <c r="E72" s="1136"/>
      <c r="F72" s="1136"/>
      <c r="G72" s="1136"/>
      <c r="H72" s="1136"/>
      <c r="I72" s="1136"/>
      <c r="J72" s="1123"/>
      <c r="K72" s="1131"/>
      <c r="M72" s="1126"/>
    </row>
    <row r="73" spans="1:13" ht="12.95" customHeight="1">
      <c r="A73" s="1108"/>
      <c r="B73" s="1135"/>
      <c r="D73" s="1136"/>
      <c r="E73" s="1136"/>
      <c r="F73" s="1136"/>
      <c r="G73" s="1136"/>
      <c r="H73" s="1136"/>
      <c r="I73" s="1136"/>
      <c r="J73" s="1123"/>
      <c r="K73" s="1131"/>
      <c r="M73" s="1126"/>
    </row>
    <row r="74" spans="1:13" ht="12.95" customHeight="1">
      <c r="A74" s="1108"/>
      <c r="B74" s="1135"/>
      <c r="D74" s="1136"/>
      <c r="E74" s="1136"/>
      <c r="F74" s="1136"/>
      <c r="G74" s="1136"/>
      <c r="H74" s="1136"/>
      <c r="I74" s="1136"/>
      <c r="J74" s="1123"/>
      <c r="K74" s="1131"/>
      <c r="M74" s="1126"/>
    </row>
    <row r="75" spans="1:13" ht="12.95" customHeight="1">
      <c r="A75" s="1108"/>
      <c r="B75" s="1135"/>
      <c r="D75" s="1136"/>
      <c r="E75" s="1136"/>
      <c r="F75" s="1136"/>
      <c r="G75" s="1136"/>
      <c r="H75" s="1136"/>
      <c r="I75" s="1136"/>
      <c r="J75" s="1123"/>
      <c r="K75" s="1131"/>
      <c r="M75" s="1126"/>
    </row>
    <row r="76" spans="1:13" ht="12.95" customHeight="1">
      <c r="A76" s="1108"/>
      <c r="B76" s="1135"/>
      <c r="D76" s="1136"/>
      <c r="E76" s="1136"/>
      <c r="F76" s="1136"/>
      <c r="G76" s="1136"/>
      <c r="H76" s="1136"/>
      <c r="I76" s="1136"/>
      <c r="J76" s="1123"/>
      <c r="K76" s="1131"/>
      <c r="M76" s="1126"/>
    </row>
    <row r="77" spans="1:13" ht="12.95" customHeight="1">
      <c r="A77" s="1108"/>
      <c r="B77" s="1135"/>
      <c r="D77" s="1136"/>
      <c r="E77" s="1136"/>
      <c r="F77" s="1136"/>
      <c r="G77" s="1136"/>
      <c r="H77" s="1136"/>
      <c r="I77" s="1136"/>
      <c r="J77" s="1123"/>
      <c r="K77" s="1131"/>
      <c r="M77" s="1126"/>
    </row>
    <row r="78" spans="1:13" ht="12.95" customHeight="1">
      <c r="A78" s="1108"/>
      <c r="B78" s="1135"/>
      <c r="D78" s="1136"/>
      <c r="E78" s="1136"/>
      <c r="F78" s="1136"/>
      <c r="G78" s="1136"/>
      <c r="H78" s="1136"/>
      <c r="I78" s="1136"/>
      <c r="J78" s="1123"/>
      <c r="K78" s="1131"/>
      <c r="M78" s="1126"/>
    </row>
    <row r="79" spans="1:13" ht="12.95" customHeight="1">
      <c r="A79" s="1108"/>
      <c r="B79" s="1135"/>
      <c r="D79" s="1136"/>
      <c r="E79" s="1136"/>
      <c r="F79" s="1136"/>
      <c r="G79" s="1136"/>
      <c r="H79" s="1136"/>
      <c r="I79" s="1136"/>
      <c r="J79" s="1123"/>
      <c r="K79" s="1131"/>
      <c r="M79" s="1126"/>
    </row>
    <row r="80" spans="1:13" ht="12.95" customHeight="1">
      <c r="A80" s="1108"/>
      <c r="B80" s="1135"/>
      <c r="D80" s="1136"/>
      <c r="E80" s="1136"/>
      <c r="F80" s="1136"/>
      <c r="G80" s="1136"/>
      <c r="H80" s="1136"/>
      <c r="I80" s="1136"/>
      <c r="J80" s="1123"/>
      <c r="K80" s="1131"/>
      <c r="M80" s="1126"/>
    </row>
    <row r="81" spans="1:13" ht="12.95" customHeight="1">
      <c r="A81" s="1108"/>
      <c r="B81" s="1135"/>
      <c r="D81" s="1136"/>
      <c r="E81" s="1136"/>
      <c r="F81" s="1136"/>
      <c r="G81" s="1136"/>
      <c r="H81" s="1136"/>
      <c r="I81" s="1136"/>
      <c r="J81" s="1123"/>
      <c r="K81" s="1131"/>
      <c r="M81" s="1126"/>
    </row>
    <row r="82" spans="1:13" ht="12.95" customHeight="1">
      <c r="A82" s="1108"/>
      <c r="B82" s="1135"/>
      <c r="D82" s="1136"/>
      <c r="E82" s="1136"/>
      <c r="F82" s="1136"/>
      <c r="G82" s="1136"/>
      <c r="H82" s="1136"/>
      <c r="I82" s="1136"/>
      <c r="J82" s="1123"/>
      <c r="K82" s="1131"/>
      <c r="M82" s="1126"/>
    </row>
    <row r="83" spans="1:13" ht="12.95" customHeight="1">
      <c r="A83" s="1108"/>
      <c r="B83" s="1135"/>
      <c r="D83" s="1136"/>
      <c r="E83" s="1136"/>
      <c r="F83" s="1136"/>
      <c r="G83" s="1136"/>
      <c r="H83" s="1136"/>
      <c r="I83" s="1136"/>
      <c r="J83" s="1123"/>
      <c r="K83" s="1131"/>
      <c r="M83" s="1126"/>
    </row>
    <row r="84" spans="1:13" ht="12.95" customHeight="1">
      <c r="A84" s="1108"/>
      <c r="B84" s="1135"/>
      <c r="D84" s="1136"/>
      <c r="E84" s="1136"/>
      <c r="F84" s="1136"/>
      <c r="G84" s="1136"/>
      <c r="H84" s="1136"/>
      <c r="I84" s="1136"/>
      <c r="J84" s="1123"/>
      <c r="K84" s="1131"/>
      <c r="M84" s="1126"/>
    </row>
    <row r="85" spans="1:13" ht="12.95" customHeight="1">
      <c r="A85" s="1108"/>
      <c r="B85" s="1135"/>
      <c r="D85" s="1136"/>
      <c r="E85" s="1136"/>
      <c r="F85" s="1136"/>
      <c r="G85" s="1136"/>
      <c r="H85" s="1136"/>
      <c r="I85" s="1136"/>
      <c r="J85" s="1123"/>
      <c r="K85" s="1131"/>
      <c r="M85" s="1126"/>
    </row>
    <row r="86" spans="1:13" ht="12.95" customHeight="1">
      <c r="A86" s="1108"/>
      <c r="B86" s="1135"/>
      <c r="D86" s="1136"/>
      <c r="E86" s="1136"/>
      <c r="F86" s="1136"/>
      <c r="G86" s="1136"/>
      <c r="H86" s="1136"/>
      <c r="I86" s="1136"/>
      <c r="J86" s="1123"/>
      <c r="K86" s="1131"/>
      <c r="M86" s="1126"/>
    </row>
    <row r="87" spans="1:13" ht="12.95" customHeight="1">
      <c r="A87" s="1108"/>
      <c r="B87" s="1135"/>
      <c r="D87" s="1136"/>
      <c r="E87" s="1136"/>
      <c r="F87" s="1136"/>
      <c r="G87" s="1136"/>
      <c r="H87" s="1136"/>
      <c r="I87" s="1136"/>
      <c r="J87" s="1123"/>
      <c r="K87" s="1131"/>
      <c r="M87" s="1126"/>
    </row>
    <row r="88" spans="1:13" ht="12.95" customHeight="1">
      <c r="A88" s="1108"/>
      <c r="B88" s="1135"/>
      <c r="D88" s="1136"/>
      <c r="E88" s="1136"/>
      <c r="F88" s="1136"/>
      <c r="G88" s="1136"/>
      <c r="H88" s="1136"/>
      <c r="I88" s="1136"/>
      <c r="J88" s="1123"/>
      <c r="K88" s="1131"/>
      <c r="M88" s="1126"/>
    </row>
    <row r="89" spans="1:13" ht="12.95" customHeight="1">
      <c r="A89" s="1108"/>
      <c r="B89" s="1135"/>
      <c r="D89" s="1136"/>
      <c r="E89" s="1136"/>
      <c r="F89" s="1136"/>
      <c r="G89" s="1136"/>
      <c r="H89" s="1136"/>
      <c r="I89" s="1136"/>
      <c r="J89" s="1123"/>
      <c r="K89" s="1131"/>
      <c r="M89" s="1126"/>
    </row>
    <row r="90" spans="1:13" ht="12.95" customHeight="1">
      <c r="A90" s="1108"/>
      <c r="B90" s="1135"/>
      <c r="D90" s="1136"/>
      <c r="E90" s="1136"/>
      <c r="F90" s="1136"/>
      <c r="G90" s="1136"/>
      <c r="H90" s="1136"/>
      <c r="I90" s="1136"/>
      <c r="J90" s="1123"/>
      <c r="K90" s="1131"/>
      <c r="M90" s="1126"/>
    </row>
    <row r="91" spans="1:13" ht="12.95" customHeight="1">
      <c r="A91" s="1108"/>
      <c r="B91" s="1135"/>
      <c r="D91" s="1136"/>
      <c r="E91" s="1136"/>
      <c r="F91" s="1136"/>
      <c r="G91" s="1136"/>
      <c r="H91" s="1136"/>
      <c r="I91" s="1136"/>
      <c r="J91" s="1123"/>
      <c r="K91" s="1131"/>
      <c r="M91" s="1126"/>
    </row>
    <row r="92" spans="1:13" ht="12.95" customHeight="1">
      <c r="A92" s="1108"/>
      <c r="B92" s="1135"/>
      <c r="D92" s="1136"/>
      <c r="E92" s="1136"/>
      <c r="F92" s="1136"/>
      <c r="G92" s="1136"/>
      <c r="H92" s="1136"/>
      <c r="I92" s="1136"/>
      <c r="J92" s="1123"/>
      <c r="K92" s="1131"/>
      <c r="M92" s="1126"/>
    </row>
    <row r="93" spans="1:13" ht="12.95" customHeight="1">
      <c r="A93" s="1108"/>
      <c r="B93" s="1135"/>
      <c r="D93" s="1136"/>
      <c r="E93" s="1136"/>
      <c r="F93" s="1136"/>
      <c r="G93" s="1136"/>
      <c r="H93" s="1136"/>
      <c r="I93" s="1136"/>
      <c r="J93" s="1123"/>
      <c r="M93" s="1126"/>
    </row>
    <row r="94" spans="1:13" ht="12.95" customHeight="1">
      <c r="A94" s="1108"/>
      <c r="B94" s="1135"/>
      <c r="D94" s="1136"/>
      <c r="E94" s="1136"/>
      <c r="F94" s="1136"/>
      <c r="G94" s="1136"/>
      <c r="H94" s="1136"/>
      <c r="I94" s="1136"/>
      <c r="J94" s="1123"/>
      <c r="M94" s="1126"/>
    </row>
    <row r="95" spans="1:13" ht="12.95" customHeight="1">
      <c r="A95" s="1108"/>
      <c r="B95" s="1135"/>
      <c r="D95" s="1136"/>
      <c r="E95" s="1136"/>
      <c r="F95" s="1136"/>
      <c r="G95" s="1136"/>
      <c r="H95" s="1136"/>
      <c r="I95" s="1136"/>
      <c r="J95" s="1123"/>
      <c r="M95" s="1126"/>
    </row>
    <row r="96" spans="1:13" ht="12.95" customHeight="1">
      <c r="A96" s="1108"/>
      <c r="B96" s="1135"/>
      <c r="D96" s="1136"/>
      <c r="E96" s="1136"/>
      <c r="F96" s="1136"/>
      <c r="G96" s="1136"/>
      <c r="H96" s="1136"/>
      <c r="I96" s="1136"/>
      <c r="J96" s="1123"/>
      <c r="M96" s="1126"/>
    </row>
    <row r="97" spans="1:13" ht="12.95" customHeight="1">
      <c r="A97" s="1108"/>
      <c r="B97" s="1135"/>
      <c r="D97" s="1136"/>
      <c r="E97" s="1136"/>
      <c r="F97" s="1136"/>
      <c r="G97" s="1136"/>
      <c r="H97" s="1136"/>
      <c r="I97" s="1136"/>
      <c r="J97" s="1123"/>
      <c r="M97" s="1126"/>
    </row>
    <row r="98" spans="1:13" ht="12.95" customHeight="1">
      <c r="A98" s="1108"/>
      <c r="B98" s="1135"/>
      <c r="D98" s="1136"/>
      <c r="E98" s="1136"/>
      <c r="F98" s="1136"/>
      <c r="G98" s="1136"/>
      <c r="H98" s="1136"/>
      <c r="I98" s="1136"/>
      <c r="J98" s="1123"/>
      <c r="M98" s="1126"/>
    </row>
    <row r="99" spans="1:13" ht="12.95" customHeight="1">
      <c r="A99" s="1108"/>
      <c r="B99" s="1135"/>
      <c r="D99" s="1136"/>
      <c r="E99" s="1136"/>
      <c r="F99" s="1136"/>
      <c r="G99" s="1136"/>
      <c r="H99" s="1136"/>
      <c r="I99" s="1136"/>
      <c r="J99" s="1123"/>
      <c r="M99" s="1126"/>
    </row>
    <row r="100" spans="1:13" ht="12.95" customHeight="1">
      <c r="A100" s="1108"/>
      <c r="B100" s="1135"/>
      <c r="D100" s="1136"/>
      <c r="E100" s="1136"/>
      <c r="F100" s="1136"/>
      <c r="G100" s="1136"/>
      <c r="H100" s="1136"/>
      <c r="I100" s="1136"/>
      <c r="J100" s="1123"/>
      <c r="M100" s="1126"/>
    </row>
    <row r="101" spans="1:13" ht="12.95" customHeight="1">
      <c r="A101" s="1108"/>
      <c r="B101" s="1135"/>
      <c r="D101" s="1136"/>
      <c r="E101" s="1136"/>
      <c r="F101" s="1136"/>
      <c r="G101" s="1136"/>
      <c r="H101" s="1136"/>
      <c r="I101" s="1136"/>
      <c r="J101" s="1123"/>
      <c r="M101" s="1126"/>
    </row>
    <row r="102" spans="1:13">
      <c r="A102" s="1131"/>
      <c r="B102" s="1137"/>
      <c r="C102" s="1131"/>
      <c r="D102" s="1131"/>
      <c r="E102" s="1131"/>
      <c r="F102" s="1131"/>
      <c r="G102" s="1131"/>
      <c r="H102" s="1131"/>
      <c r="I102" s="1131"/>
      <c r="J102" s="1139"/>
    </row>
    <row r="103" spans="1:13">
      <c r="B103" s="1135"/>
      <c r="J103" s="1138"/>
    </row>
    <row r="104" spans="1:13">
      <c r="B104" s="1135"/>
      <c r="J104" s="1138"/>
    </row>
    <row r="105" spans="1:13">
      <c r="B105" s="1135"/>
    </row>
    <row r="106" spans="1:13">
      <c r="B106" s="1135"/>
    </row>
    <row r="107" spans="1:13">
      <c r="B107" s="1135"/>
    </row>
    <row r="108" spans="1:13">
      <c r="B108" s="1135"/>
    </row>
    <row r="109" spans="1:13">
      <c r="B109" s="1135"/>
    </row>
    <row r="110" spans="1:13">
      <c r="B110" s="1135"/>
    </row>
  </sheetData>
  <customSheetViews>
    <customSheetView guid="{BD09DBC2-63A5-4D9C-9B00-4281066E9389}" scale="95" showGridLines="0" outlineSymbols="0" printArea="1">
      <selection activeCell="B30" sqref="B30"/>
      <rowBreaks count="3" manualBreakCount="3">
        <brk id="104" max="9" man="1"/>
        <brk id="117" max="9" man="1"/>
        <brk id="131" max="10" man="1"/>
      </rowBreaks>
      <pageMargins left="1" right="0.5" top="0.45" bottom="0.35" header="0" footer="0"/>
      <printOptions horizontalCentered="1" verticalCentered="1"/>
      <pageSetup scale="62" orientation="landscape" horizontalDpi="300" verticalDpi="300" r:id="rId1"/>
      <headerFooter alignWithMargins="0"/>
    </customSheetView>
    <customSheetView guid="{C82E0A7D-2B5B-48FC-A705-3168E651E04C}" scale="95" showGridLines="0" outlineSymbols="0" printArea="1"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2"/>
      <headerFooter alignWithMargins="0"/>
    </customSheetView>
    <customSheetView guid="{A8B05C3B-0E7E-44A3-A097-AF4C5C09F04E}" scale="95" showGridLines="0" outlineSymbols="0" printArea="1">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3"/>
      <headerFooter alignWithMargins="0"/>
    </customSheetView>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4"/>
      <headerFooter alignWithMargins="0"/>
    </customSheetView>
    <customSheetView guid="{4735AAE3-27B4-4549-AAB4-50ACA997F5F5}" scale="95" showGridLines="0" outlineSymbols="0" printArea="1" topLeftCell="A34">
      <selection activeCell="B55" sqref="B55"/>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5"/>
      <headerFooter alignWithMargins="0"/>
    </customSheetView>
    <customSheetView guid="{80622567-647A-4891-B8EE-6B9E2C4DAC44}" scale="95" showGridLines="0" outlineSymbols="0" printArea="1">
      <selection activeCell="B30" sqref="B30"/>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6"/>
      <headerFooter alignWithMargins="0"/>
    </customSheetView>
    <customSheetView guid="{A97EE6C3-4DA8-41BD-BE43-F596EFCB43CA}" scale="95" showGridLines="0" outlineSymbols="0" printArea="1" topLeftCell="A34">
      <selection activeCell="K70" sqref="K70"/>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7"/>
      <headerFooter alignWithMargins="0"/>
    </customSheetView>
    <customSheetView guid="{90B76C5A-2FC4-40F0-8436-3E4F075A4887}" scale="95" showGridLines="0" outlineSymbols="0">
      <selection activeCell="C1" sqref="C1"/>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8"/>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 F'!B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s>
  <printOptions horizontalCentered="1" verticalCentered="1"/>
  <pageMargins left="1" right="0.5" top="0.45" bottom="0.35" header="0" footer="0"/>
  <pageSetup scale="62" orientation="landscape" r:id="rId9"/>
  <headerFooter alignWithMargins="0"/>
  <rowBreaks count="3" manualBreakCount="3">
    <brk id="104" max="9" man="1"/>
    <brk id="117" max="9" man="1"/>
    <brk id="131" max="10" man="1"/>
  </rowBreaks>
  <drawing r:id="rId10"/>
</worksheet>
</file>

<file path=xl/worksheets/sheet10.xml><?xml version="1.0" encoding="utf-8"?>
<worksheet xmlns="http://schemas.openxmlformats.org/spreadsheetml/2006/main" xmlns:r="http://schemas.openxmlformats.org/officeDocument/2006/relationships">
  <dimension ref="A1:AD52"/>
  <sheetViews>
    <sheetView showGridLines="0" zoomScale="80" zoomScaleNormal="70" workbookViewId="0"/>
  </sheetViews>
  <sheetFormatPr defaultRowHeight="15"/>
  <cols>
    <col min="1" max="1" width="50.33203125" style="2164" customWidth="1"/>
    <col min="2" max="2" width="3.6640625" style="1173" customWidth="1"/>
    <col min="3" max="3" width="16.6640625" style="1173" customWidth="1"/>
    <col min="4" max="4" width="4.77734375" style="1173" customWidth="1"/>
    <col min="5" max="5" width="16.44140625" style="806" customWidth="1"/>
    <col min="6" max="6" width="4.77734375" style="2168" customWidth="1"/>
    <col min="7" max="7" width="14.33203125" style="2168" customWidth="1"/>
    <col min="8" max="8" width="4.77734375" style="2168" customWidth="1"/>
    <col min="9" max="9" width="16.109375" style="2168" customWidth="1"/>
    <col min="10" max="10" width="4.77734375" style="1173" customWidth="1"/>
    <col min="11" max="11" width="12.5546875" style="1173" customWidth="1"/>
    <col min="12" max="12" width="11.44140625" style="1173" customWidth="1"/>
    <col min="13" max="13" width="1.88671875" style="1173" customWidth="1"/>
    <col min="14" max="14" width="11.6640625" style="1173" customWidth="1"/>
    <col min="15" max="15" width="2.109375" style="1173" customWidth="1"/>
    <col min="16" max="16" width="11.44140625" style="1173" customWidth="1"/>
    <col min="17" max="17" width="0.5546875" style="1173" customWidth="1"/>
    <col min="18" max="18" width="2.33203125" style="1173" customWidth="1"/>
    <col min="19" max="19" width="10.5546875" style="1173" customWidth="1"/>
    <col min="20" max="20" width="11.109375" style="1173" customWidth="1"/>
    <col min="21" max="21" width="2.21875" style="1173" customWidth="1"/>
    <col min="22" max="22" width="11.109375" style="1173" customWidth="1"/>
    <col min="23" max="23" width="2.109375" style="1173" customWidth="1"/>
    <col min="24" max="24" width="12.44140625" style="1173" customWidth="1"/>
    <col min="25" max="29" width="8.88671875" style="1173"/>
    <col min="30" max="30" width="8.88671875" style="2168"/>
    <col min="31" max="16384" width="8.88671875" style="2164"/>
  </cols>
  <sheetData>
    <row r="1" spans="1:24">
      <c r="A1" s="1227" t="s">
        <v>1322</v>
      </c>
      <c r="B1" s="393"/>
      <c r="C1" s="393"/>
      <c r="D1" s="393"/>
      <c r="E1" s="800"/>
      <c r="F1" s="394"/>
      <c r="G1" s="394"/>
      <c r="H1" s="394"/>
      <c r="I1" s="394"/>
      <c r="J1" s="394"/>
      <c r="K1" s="393"/>
      <c r="L1" s="393"/>
      <c r="M1" s="393"/>
      <c r="N1" s="393"/>
      <c r="O1" s="393"/>
      <c r="P1" s="393"/>
      <c r="Q1" s="393"/>
      <c r="R1" s="393"/>
      <c r="S1" s="393"/>
      <c r="T1" s="393"/>
      <c r="U1" s="393"/>
      <c r="V1" s="393"/>
      <c r="W1" s="393"/>
      <c r="X1" s="393"/>
    </row>
    <row r="2" spans="1:24" ht="17.25" customHeight="1">
      <c r="A2" s="395"/>
      <c r="B2" s="393"/>
      <c r="C2" s="393"/>
      <c r="D2" s="393"/>
      <c r="E2" s="800"/>
      <c r="F2" s="394"/>
      <c r="G2" s="397"/>
      <c r="H2" s="394"/>
      <c r="I2" s="394"/>
      <c r="J2" s="394"/>
      <c r="K2" s="393"/>
      <c r="L2" s="393"/>
      <c r="M2" s="393"/>
      <c r="N2" s="393"/>
      <c r="O2" s="393"/>
      <c r="P2" s="393"/>
      <c r="Q2" s="393"/>
      <c r="R2" s="393"/>
      <c r="S2" s="393"/>
      <c r="T2" s="393"/>
      <c r="U2" s="393"/>
      <c r="V2" s="393"/>
      <c r="W2" s="393"/>
      <c r="X2" s="393"/>
    </row>
    <row r="3" spans="1:24" ht="21" customHeight="1">
      <c r="A3" s="398" t="s">
        <v>0</v>
      </c>
      <c r="B3" s="363"/>
      <c r="C3" s="363"/>
      <c r="D3" s="363"/>
      <c r="E3" s="803"/>
      <c r="F3" s="349"/>
      <c r="G3" s="349"/>
      <c r="H3" s="349"/>
      <c r="I3" s="1872"/>
      <c r="J3" s="349"/>
      <c r="K3" s="1872" t="s">
        <v>87</v>
      </c>
      <c r="L3" s="363"/>
      <c r="M3" s="363"/>
      <c r="N3" s="363"/>
      <c r="O3" s="363"/>
      <c r="P3" s="363"/>
      <c r="Q3" s="363"/>
      <c r="R3" s="363"/>
      <c r="S3" s="363"/>
      <c r="T3" s="363"/>
      <c r="U3" s="363"/>
      <c r="V3" s="363"/>
      <c r="W3" s="363"/>
      <c r="X3" s="399"/>
    </row>
    <row r="4" spans="1:24" ht="21.75" customHeight="1">
      <c r="A4" s="398" t="s">
        <v>86</v>
      </c>
      <c r="B4" s="363"/>
      <c r="C4" s="363"/>
      <c r="D4" s="363"/>
      <c r="E4" s="803"/>
      <c r="F4" s="349"/>
      <c r="G4" s="349"/>
      <c r="H4" s="349"/>
      <c r="I4" s="1873"/>
      <c r="J4" s="349"/>
      <c r="K4" s="1873" t="s">
        <v>108</v>
      </c>
      <c r="L4" s="363"/>
      <c r="M4" s="363"/>
      <c r="N4" s="363"/>
      <c r="O4" s="363"/>
      <c r="P4" s="363"/>
      <c r="Q4" s="363"/>
      <c r="R4" s="363"/>
      <c r="S4" s="363"/>
      <c r="T4" s="363"/>
      <c r="U4" s="363"/>
      <c r="V4" s="363"/>
      <c r="W4" s="363"/>
      <c r="X4" s="363"/>
    </row>
    <row r="5" spans="1:24" ht="21.75" customHeight="1">
      <c r="A5" s="2518" t="s">
        <v>1176</v>
      </c>
      <c r="B5" s="363"/>
      <c r="C5" s="363"/>
      <c r="D5" s="363"/>
      <c r="E5" s="803"/>
      <c r="F5" s="349"/>
      <c r="G5" s="349"/>
      <c r="H5" s="349"/>
      <c r="I5" s="349"/>
      <c r="J5" s="349"/>
      <c r="K5" s="363"/>
      <c r="L5" s="363"/>
      <c r="M5" s="363"/>
      <c r="N5" s="363"/>
      <c r="O5" s="363"/>
      <c r="P5" s="363"/>
      <c r="Q5" s="363"/>
      <c r="R5" s="363"/>
      <c r="S5" s="363"/>
      <c r="T5" s="363"/>
      <c r="U5" s="363"/>
      <c r="V5" s="363"/>
      <c r="W5" s="363"/>
      <c r="X5" s="363"/>
    </row>
    <row r="6" spans="1:24" ht="17.25" customHeight="1">
      <c r="A6" s="3303" t="str">
        <f>+'Exh D-Governmental  '!A6</f>
        <v>FOR SEVEN MONTHS ENDED OCTOBER 31, 2014</v>
      </c>
      <c r="B6" s="363"/>
      <c r="C6" s="363"/>
      <c r="D6" s="363"/>
      <c r="E6" s="803"/>
      <c r="F6" s="349"/>
      <c r="G6" s="349"/>
      <c r="H6" s="349"/>
      <c r="I6" s="349"/>
      <c r="J6" s="349"/>
      <c r="K6" s="363"/>
      <c r="L6" s="363"/>
      <c r="M6" s="363"/>
      <c r="N6" s="363"/>
      <c r="O6" s="363"/>
      <c r="P6" s="363"/>
      <c r="Q6" s="363"/>
      <c r="R6" s="363"/>
      <c r="S6" s="363"/>
      <c r="T6" s="363"/>
      <c r="U6" s="363"/>
      <c r="V6" s="363"/>
      <c r="W6" s="363"/>
      <c r="X6" s="363"/>
    </row>
    <row r="7" spans="1:24" ht="18">
      <c r="A7" s="398" t="s">
        <v>1199</v>
      </c>
      <c r="B7" s="363"/>
      <c r="C7" s="363"/>
      <c r="D7" s="363"/>
      <c r="E7" s="803"/>
      <c r="F7" s="349"/>
      <c r="G7" s="349"/>
      <c r="H7" s="349"/>
      <c r="I7" s="349"/>
      <c r="J7" s="349"/>
      <c r="K7" s="363"/>
      <c r="L7" s="363"/>
      <c r="M7" s="363"/>
      <c r="N7" s="363"/>
      <c r="O7" s="363"/>
      <c r="P7" s="363"/>
      <c r="Q7" s="363"/>
      <c r="R7" s="363"/>
      <c r="S7" s="363"/>
      <c r="T7" s="363"/>
      <c r="U7" s="363"/>
      <c r="V7" s="363"/>
      <c r="W7" s="363"/>
      <c r="X7" s="363"/>
    </row>
    <row r="8" spans="1:24" ht="15" customHeight="1">
      <c r="A8" s="400"/>
      <c r="B8" s="363"/>
      <c r="C8" s="363"/>
      <c r="D8" s="363"/>
      <c r="E8" s="803"/>
      <c r="F8" s="349"/>
      <c r="G8" s="349"/>
      <c r="H8" s="349"/>
      <c r="I8" s="349"/>
      <c r="J8" s="349"/>
      <c r="K8" s="363"/>
      <c r="L8" s="363"/>
      <c r="M8" s="363"/>
      <c r="N8" s="363"/>
      <c r="O8" s="363"/>
      <c r="P8" s="363"/>
      <c r="Q8" s="363"/>
      <c r="R8" s="363"/>
      <c r="S8" s="363"/>
      <c r="T8" s="363"/>
      <c r="U8" s="363"/>
      <c r="V8" s="363"/>
      <c r="W8" s="363"/>
      <c r="X8" s="363"/>
    </row>
    <row r="9" spans="1:24">
      <c r="A9" s="357"/>
      <c r="B9" s="363"/>
      <c r="C9" s="363"/>
      <c r="D9" s="363"/>
      <c r="E9" s="803"/>
      <c r="F9" s="349"/>
      <c r="G9" s="349"/>
      <c r="H9" s="349"/>
      <c r="I9" s="349"/>
      <c r="J9" s="349"/>
      <c r="K9" s="363"/>
      <c r="L9" s="363"/>
      <c r="M9" s="363"/>
      <c r="N9" s="363"/>
      <c r="O9" s="363"/>
      <c r="P9" s="363"/>
      <c r="Q9" s="363"/>
      <c r="R9" s="363"/>
      <c r="S9" s="363"/>
      <c r="T9" s="363"/>
      <c r="U9" s="363"/>
      <c r="V9" s="363"/>
      <c r="W9" s="363"/>
      <c r="X9" s="363"/>
    </row>
    <row r="10" spans="1:24">
      <c r="A10" s="357"/>
      <c r="B10" s="363"/>
      <c r="C10" s="363"/>
      <c r="D10" s="363"/>
      <c r="E10" s="802"/>
      <c r="F10" s="355"/>
      <c r="G10" s="355"/>
      <c r="H10" s="355"/>
      <c r="I10" s="355"/>
      <c r="J10" s="349"/>
      <c r="K10" s="363"/>
      <c r="L10" s="363"/>
      <c r="M10" s="363"/>
      <c r="N10" s="363"/>
      <c r="O10" s="363"/>
      <c r="P10" s="363"/>
      <c r="Q10" s="363"/>
      <c r="R10" s="363"/>
      <c r="S10" s="363"/>
      <c r="T10" s="363"/>
      <c r="U10" s="363"/>
      <c r="V10" s="363"/>
      <c r="W10" s="363"/>
      <c r="X10" s="363"/>
    </row>
    <row r="11" spans="1:24" ht="15.75">
      <c r="A11" s="1407"/>
      <c r="C11" s="2622"/>
      <c r="D11" s="2622"/>
      <c r="E11" s="2657" t="s">
        <v>1556</v>
      </c>
      <c r="F11" s="2629"/>
      <c r="G11" s="2629"/>
      <c r="H11" s="2629"/>
      <c r="I11" s="2629"/>
      <c r="J11" s="2633"/>
      <c r="K11" s="2621"/>
      <c r="L11" s="401"/>
      <c r="M11" s="401"/>
      <c r="N11" s="401"/>
      <c r="O11" s="401"/>
      <c r="P11" s="401"/>
      <c r="Q11" s="401"/>
      <c r="R11" s="358"/>
      <c r="S11" s="401"/>
      <c r="T11" s="402"/>
      <c r="U11" s="401"/>
      <c r="V11" s="401"/>
      <c r="W11" s="401"/>
      <c r="X11" s="401"/>
    </row>
    <row r="12" spans="1:24" ht="15.75">
      <c r="A12" s="1407"/>
      <c r="E12" s="807"/>
      <c r="F12" s="403"/>
      <c r="G12" s="404"/>
      <c r="H12" s="403"/>
      <c r="I12" s="403" t="s">
        <v>88</v>
      </c>
      <c r="J12" s="358"/>
      <c r="K12" s="403" t="s">
        <v>88</v>
      </c>
      <c r="L12" s="401"/>
      <c r="M12" s="401"/>
      <c r="N12" s="401"/>
      <c r="O12" s="401"/>
      <c r="P12" s="401"/>
      <c r="Q12" s="401"/>
      <c r="R12" s="358"/>
      <c r="S12" s="401"/>
      <c r="T12" s="402"/>
      <c r="U12" s="401"/>
      <c r="V12" s="401"/>
      <c r="W12" s="401"/>
      <c r="X12" s="401"/>
    </row>
    <row r="13" spans="1:24" ht="15.75">
      <c r="A13" s="1407"/>
      <c r="E13" s="807"/>
      <c r="F13" s="403"/>
      <c r="G13" s="404"/>
      <c r="H13" s="403"/>
      <c r="I13" s="406" t="s">
        <v>1206</v>
      </c>
      <c r="J13" s="358"/>
      <c r="K13" s="406" t="s">
        <v>1206</v>
      </c>
      <c r="L13" s="401"/>
      <c r="M13" s="401"/>
      <c r="N13" s="401"/>
      <c r="O13" s="401"/>
      <c r="P13" s="401"/>
      <c r="Q13" s="401"/>
      <c r="R13" s="358"/>
      <c r="S13" s="401"/>
      <c r="T13" s="402"/>
      <c r="U13" s="401"/>
      <c r="V13" s="401"/>
      <c r="W13" s="401"/>
      <c r="X13" s="401"/>
    </row>
    <row r="14" spans="1:24" ht="15.75">
      <c r="A14" s="1407"/>
      <c r="B14" s="358"/>
      <c r="C14" s="361" t="s">
        <v>1490</v>
      </c>
      <c r="D14" s="358"/>
      <c r="E14" s="360" t="s">
        <v>1491</v>
      </c>
      <c r="F14" s="405"/>
      <c r="G14" s="405"/>
      <c r="H14" s="405"/>
      <c r="I14" s="360" t="s">
        <v>89</v>
      </c>
      <c r="J14" s="358"/>
      <c r="K14" s="360" t="s">
        <v>89</v>
      </c>
      <c r="L14" s="358"/>
      <c r="M14" s="358"/>
      <c r="N14" s="358"/>
      <c r="O14" s="358"/>
      <c r="P14" s="407"/>
      <c r="Q14" s="408"/>
      <c r="R14" s="358"/>
      <c r="S14" s="358"/>
      <c r="T14" s="358"/>
      <c r="U14" s="358"/>
      <c r="V14" s="358"/>
      <c r="W14" s="358"/>
      <c r="X14" s="407"/>
    </row>
    <row r="15" spans="1:24" ht="15.75">
      <c r="A15" s="1407"/>
      <c r="B15" s="409"/>
      <c r="C15" s="360" t="s">
        <v>1536</v>
      </c>
      <c r="D15" s="409"/>
      <c r="E15" s="360" t="s">
        <v>1536</v>
      </c>
      <c r="F15" s="359"/>
      <c r="G15" s="359"/>
      <c r="H15" s="359"/>
      <c r="I15" s="360" t="s">
        <v>1490</v>
      </c>
      <c r="J15" s="358"/>
      <c r="K15" s="360" t="s">
        <v>1491</v>
      </c>
      <c r="L15" s="408"/>
      <c r="M15" s="358"/>
      <c r="N15" s="358"/>
      <c r="O15" s="358"/>
      <c r="P15" s="407"/>
      <c r="Q15" s="408"/>
      <c r="R15" s="358"/>
      <c r="S15" s="407"/>
      <c r="T15" s="408"/>
      <c r="U15" s="358"/>
      <c r="V15" s="358"/>
      <c r="W15" s="358"/>
      <c r="X15" s="407"/>
    </row>
    <row r="16" spans="1:24" ht="15.75">
      <c r="A16" s="1407"/>
      <c r="B16" s="408"/>
      <c r="C16" s="2632" t="s">
        <v>1537</v>
      </c>
      <c r="D16" s="408"/>
      <c r="E16" s="360" t="s">
        <v>1540</v>
      </c>
      <c r="F16" s="359"/>
      <c r="G16" s="361" t="s">
        <v>88</v>
      </c>
      <c r="H16" s="359"/>
      <c r="I16" s="360" t="s">
        <v>90</v>
      </c>
      <c r="J16" s="358"/>
      <c r="K16" s="2632" t="s">
        <v>90</v>
      </c>
      <c r="L16" s="408"/>
      <c r="M16" s="358"/>
      <c r="N16" s="407"/>
      <c r="O16" s="358"/>
      <c r="P16" s="407"/>
      <c r="Q16" s="408"/>
      <c r="R16" s="358"/>
      <c r="S16" s="408"/>
      <c r="T16" s="408"/>
      <c r="U16" s="358"/>
      <c r="V16" s="407"/>
      <c r="W16" s="358"/>
      <c r="X16" s="407"/>
    </row>
    <row r="17" spans="1:24">
      <c r="A17" s="362"/>
      <c r="B17" s="363"/>
      <c r="C17" s="363"/>
      <c r="D17" s="363"/>
      <c r="E17" s="364"/>
      <c r="F17" s="349"/>
      <c r="G17" s="364"/>
      <c r="H17" s="349"/>
      <c r="I17" s="364"/>
      <c r="J17" s="363"/>
      <c r="K17" s="363"/>
      <c r="L17" s="363"/>
      <c r="M17" s="363"/>
      <c r="N17" s="363"/>
      <c r="O17" s="363"/>
      <c r="P17" s="363"/>
      <c r="Q17" s="363"/>
      <c r="R17" s="363"/>
      <c r="S17" s="363"/>
      <c r="T17" s="363"/>
      <c r="U17" s="363"/>
      <c r="V17" s="363"/>
      <c r="W17" s="363"/>
      <c r="X17" s="363"/>
    </row>
    <row r="18" spans="1:24" ht="15.75">
      <c r="A18" s="225" t="s">
        <v>15</v>
      </c>
      <c r="B18" s="2156"/>
      <c r="C18" s="2156"/>
      <c r="D18" s="2156"/>
      <c r="E18" s="1294"/>
      <c r="F18" s="1294"/>
      <c r="G18" s="1294"/>
      <c r="H18" s="1294"/>
      <c r="I18" s="1294"/>
      <c r="J18" s="2156"/>
      <c r="K18" s="2156"/>
      <c r="L18" s="2156"/>
      <c r="M18" s="2156"/>
      <c r="N18" s="2156"/>
      <c r="O18" s="2156"/>
      <c r="P18" s="2156"/>
      <c r="Q18" s="2156"/>
      <c r="R18" s="2156"/>
      <c r="S18" s="2156"/>
      <c r="T18" s="2156"/>
      <c r="U18" s="2156"/>
      <c r="V18" s="2156"/>
      <c r="W18" s="2156"/>
      <c r="X18" s="2156"/>
    </row>
    <row r="19" spans="1:24">
      <c r="A19" s="1863" t="s">
        <v>91</v>
      </c>
      <c r="B19" s="2157"/>
      <c r="C19" s="2157"/>
      <c r="D19" s="2157"/>
      <c r="E19" s="1294"/>
      <c r="F19" s="1294"/>
      <c r="G19" s="1294"/>
      <c r="H19" s="2157"/>
      <c r="I19" s="1294"/>
      <c r="J19" s="2156"/>
      <c r="K19" s="2156"/>
      <c r="L19" s="2156"/>
      <c r="M19" s="2156"/>
      <c r="N19" s="2156"/>
      <c r="O19" s="2156"/>
      <c r="P19" s="2156"/>
      <c r="Q19" s="2156"/>
      <c r="R19" s="2156"/>
      <c r="S19" s="2156"/>
      <c r="T19" s="2156"/>
      <c r="U19" s="2156"/>
      <c r="V19" s="2156"/>
      <c r="W19" s="2156"/>
      <c r="X19" s="2156"/>
    </row>
    <row r="20" spans="1:24">
      <c r="A20" s="1863" t="s">
        <v>92</v>
      </c>
      <c r="B20" s="2157"/>
      <c r="C20" s="2174">
        <f>+'Exh D Special Revenue State Fed'!C20</f>
        <v>635</v>
      </c>
      <c r="D20" s="2157"/>
      <c r="E20" s="2174">
        <f>+'Exh D Special Revenue State Fed'!E20</f>
        <v>632</v>
      </c>
      <c r="F20" s="1297"/>
      <c r="G20" s="2174">
        <f>+'Exh D Special Revenue State Fed'!G20</f>
        <v>632</v>
      </c>
      <c r="H20" s="1297"/>
      <c r="I20" s="1295">
        <f t="shared" ref="I20:I26" si="0">ROUND(SUM(G20)-SUM(C20),1)</f>
        <v>-3</v>
      </c>
      <c r="J20" s="2156"/>
      <c r="K20" s="1295">
        <f t="shared" ref="K20:K26" si="1">ROUND(SUM(G20)-SUM(E20),1)</f>
        <v>0</v>
      </c>
      <c r="L20" s="2156"/>
      <c r="M20" s="2156"/>
      <c r="N20" s="2156"/>
      <c r="O20" s="2156"/>
      <c r="P20" s="2156"/>
      <c r="Q20" s="2156"/>
      <c r="R20" s="2156"/>
      <c r="S20" s="2156"/>
      <c r="T20" s="2156"/>
      <c r="U20" s="2156"/>
      <c r="V20" s="2156"/>
      <c r="W20" s="2156"/>
      <c r="X20" s="2156"/>
    </row>
    <row r="21" spans="1:24">
      <c r="A21" s="1863" t="s">
        <v>93</v>
      </c>
      <c r="B21" s="2156"/>
      <c r="C21" s="1214">
        <f>+'Exh D Special Revenue State Fed'!C21</f>
        <v>1299</v>
      </c>
      <c r="D21" s="2156"/>
      <c r="E21" s="1214">
        <f>+'Exh D Special Revenue State Fed'!E21</f>
        <v>1281</v>
      </c>
      <c r="F21" s="1214"/>
      <c r="G21" s="1214">
        <f>+'Exh D Special Revenue State Fed'!G21</f>
        <v>1272.9000000000001</v>
      </c>
      <c r="H21" s="1214"/>
      <c r="I21" s="1214">
        <f t="shared" si="0"/>
        <v>-26.1</v>
      </c>
      <c r="J21" s="2176"/>
      <c r="K21" s="1214">
        <f t="shared" si="1"/>
        <v>-8.1</v>
      </c>
      <c r="L21" s="2156"/>
      <c r="M21" s="2156"/>
      <c r="N21" s="2156"/>
      <c r="O21" s="2156"/>
      <c r="P21" s="2156"/>
      <c r="Q21" s="2156"/>
      <c r="R21" s="2156"/>
      <c r="S21" s="2156"/>
      <c r="T21" s="2156"/>
      <c r="U21" s="2156"/>
      <c r="V21" s="2156"/>
      <c r="W21" s="2156"/>
      <c r="X21" s="2156"/>
    </row>
    <row r="22" spans="1:24">
      <c r="A22" s="1863" t="s">
        <v>94</v>
      </c>
      <c r="B22" s="2157"/>
      <c r="C22" s="1214">
        <f>+'Exh D Special Revenue State Fed'!C22</f>
        <v>751</v>
      </c>
      <c r="D22" s="2157"/>
      <c r="E22" s="1214">
        <f>+'Exh D Special Revenue State Fed'!E22</f>
        <v>794</v>
      </c>
      <c r="F22" s="1372"/>
      <c r="G22" s="1214">
        <f>+'Exh D Special Revenue State Fed'!G22</f>
        <v>795.4</v>
      </c>
      <c r="H22" s="1372"/>
      <c r="I22" s="1214">
        <f t="shared" si="0"/>
        <v>44.4</v>
      </c>
      <c r="J22" s="2177"/>
      <c r="K22" s="1214">
        <f t="shared" si="1"/>
        <v>1.4</v>
      </c>
      <c r="L22" s="2156"/>
      <c r="M22" s="2178"/>
      <c r="N22" s="2156"/>
      <c r="O22" s="2178"/>
      <c r="P22" s="2156"/>
      <c r="Q22" s="2156"/>
      <c r="R22" s="2178"/>
      <c r="S22" s="2156"/>
      <c r="T22" s="2156"/>
      <c r="U22" s="2178"/>
      <c r="V22" s="410"/>
      <c r="W22" s="2178"/>
      <c r="X22" s="2156"/>
    </row>
    <row r="23" spans="1:24">
      <c r="A23" s="1863" t="s">
        <v>95</v>
      </c>
      <c r="B23" s="2156"/>
      <c r="C23" s="1214">
        <f>+'Exh D Special Revenue State Fed'!C23</f>
        <v>679</v>
      </c>
      <c r="D23" s="2156"/>
      <c r="E23" s="1214">
        <f>+'Exh D Special Revenue State Fed'!E23</f>
        <v>671</v>
      </c>
      <c r="F23" s="1214"/>
      <c r="G23" s="1214">
        <f>+'Exh D Special Revenue State Fed'!G23</f>
        <v>671.6</v>
      </c>
      <c r="H23" s="1214"/>
      <c r="I23" s="1214">
        <f t="shared" si="0"/>
        <v>-7.4</v>
      </c>
      <c r="J23" s="2176"/>
      <c r="K23" s="1214">
        <f t="shared" si="1"/>
        <v>0.6</v>
      </c>
      <c r="L23" s="2156"/>
      <c r="M23" s="2156"/>
      <c r="N23" s="2156"/>
      <c r="O23" s="2156"/>
      <c r="P23" s="2156"/>
      <c r="Q23" s="2156"/>
      <c r="R23" s="2156"/>
      <c r="S23" s="2156"/>
      <c r="T23" s="2156"/>
      <c r="U23" s="2156"/>
      <c r="V23" s="2156"/>
      <c r="W23" s="2156"/>
      <c r="X23" s="2156"/>
    </row>
    <row r="24" spans="1:24" ht="15" customHeight="1">
      <c r="A24" s="1863" t="s">
        <v>21</v>
      </c>
      <c r="B24" s="2156"/>
      <c r="C24" s="1214">
        <f>+'Exh D Special Revenue State Fed'!C24+'Exh D Special Revenue State Fed'!N24</f>
        <v>9346</v>
      </c>
      <c r="D24" s="2156"/>
      <c r="E24" s="1214">
        <f>+'Exh D Special Revenue State Fed'!E24+'Exh D Special Revenue State Fed'!P24</f>
        <v>9480</v>
      </c>
      <c r="F24" s="1214"/>
      <c r="G24" s="1214">
        <f>+'Exh D Special Revenue State Fed'!G24+'Exh D Special Revenue State Fed'!R24</f>
        <v>9499.7000000000007</v>
      </c>
      <c r="H24" s="1214"/>
      <c r="I24" s="1214">
        <f t="shared" si="0"/>
        <v>153.69999999999999</v>
      </c>
      <c r="J24" s="2176"/>
      <c r="K24" s="1214">
        <f t="shared" si="1"/>
        <v>19.7</v>
      </c>
      <c r="L24" s="2156"/>
      <c r="M24" s="2156"/>
      <c r="N24" s="2156"/>
      <c r="O24" s="2156"/>
      <c r="P24" s="2156"/>
      <c r="Q24" s="2156"/>
      <c r="R24" s="2156"/>
      <c r="S24" s="2156"/>
      <c r="T24" s="2156"/>
      <c r="U24" s="2156"/>
      <c r="V24" s="2156"/>
      <c r="W24" s="2156"/>
      <c r="X24" s="2156"/>
    </row>
    <row r="25" spans="1:24" ht="15" customHeight="1">
      <c r="A25" s="1863" t="s">
        <v>22</v>
      </c>
      <c r="B25" s="2156"/>
      <c r="C25" s="1214">
        <f>+'Exh D Special Revenue State Fed'!C25+'Exh D Special Revenue State Fed'!N25</f>
        <v>24963</v>
      </c>
      <c r="D25" s="2156"/>
      <c r="E25" s="1214">
        <f>+'Exh D Special Revenue State Fed'!E25+'Exh D Special Revenue State Fed'!P25</f>
        <v>25361</v>
      </c>
      <c r="F25" s="1214"/>
      <c r="G25" s="1214">
        <f>+'Exh D Special Revenue State Fed'!G25+'Exh D Special Revenue State Fed'!R25</f>
        <v>25378.9</v>
      </c>
      <c r="H25" s="1214"/>
      <c r="I25" s="1214">
        <f t="shared" si="0"/>
        <v>415.9</v>
      </c>
      <c r="J25" s="2176"/>
      <c r="K25" s="1214">
        <f t="shared" si="1"/>
        <v>17.899999999999999</v>
      </c>
      <c r="L25" s="2181"/>
      <c r="M25" s="2156"/>
      <c r="N25" s="2181"/>
      <c r="O25" s="2156"/>
      <c r="P25" s="2181"/>
      <c r="Q25" s="2182"/>
      <c r="R25" s="2156"/>
      <c r="S25" s="2156"/>
      <c r="T25" s="2156"/>
      <c r="U25" s="2156"/>
      <c r="V25" s="2156"/>
      <c r="W25" s="2156"/>
      <c r="X25" s="2156"/>
    </row>
    <row r="26" spans="1:24">
      <c r="A26" s="1863" t="s">
        <v>49</v>
      </c>
      <c r="B26" s="2181"/>
      <c r="C26" s="2631">
        <f>+'Exh D Special Revenue State Fed'!C26</f>
        <v>4906</v>
      </c>
      <c r="D26" s="2181"/>
      <c r="E26" s="2631">
        <f>+'Exh D Special Revenue State Fed'!E26</f>
        <v>4672</v>
      </c>
      <c r="F26" s="1214"/>
      <c r="G26" s="2631">
        <f>+'Exh D Special Revenue State Fed'!G26</f>
        <v>4415.6000000000004</v>
      </c>
      <c r="H26" s="1214"/>
      <c r="I26" s="1214">
        <f t="shared" si="0"/>
        <v>-490.4</v>
      </c>
      <c r="J26" s="2176"/>
      <c r="K26" s="1214">
        <f t="shared" si="1"/>
        <v>-256.39999999999998</v>
      </c>
      <c r="L26" s="2181"/>
      <c r="M26" s="2156"/>
      <c r="N26" s="2181"/>
      <c r="O26" s="2156"/>
      <c r="P26" s="2181"/>
      <c r="Q26" s="2182"/>
      <c r="R26" s="2156"/>
      <c r="S26" s="2156"/>
      <c r="T26" s="2156"/>
      <c r="U26" s="2156"/>
      <c r="V26" s="2156"/>
      <c r="W26" s="2156"/>
      <c r="X26" s="2156"/>
    </row>
    <row r="27" spans="1:24" ht="18" customHeight="1">
      <c r="A27" s="2517" t="s">
        <v>114</v>
      </c>
      <c r="B27" s="358"/>
      <c r="C27" s="260">
        <f>ROUND(SUM(C20:C26),1)</f>
        <v>42579</v>
      </c>
      <c r="D27" s="358"/>
      <c r="E27" s="260">
        <f>ROUND(SUM(E20:E26),1)</f>
        <v>42891</v>
      </c>
      <c r="F27" s="2154"/>
      <c r="G27" s="260">
        <f>ROUND(SUM(G20:G26),1)</f>
        <v>42666.1</v>
      </c>
      <c r="H27" s="2154"/>
      <c r="I27" s="260">
        <f>ROUND(SUM(I20:I26),1)</f>
        <v>87.1</v>
      </c>
      <c r="J27" s="277"/>
      <c r="K27" s="260">
        <f>ROUND(SUM(K20:K26),1)</f>
        <v>-224.9</v>
      </c>
      <c r="L27" s="358"/>
      <c r="M27" s="358"/>
      <c r="N27" s="358"/>
      <c r="O27" s="358"/>
      <c r="P27" s="358"/>
      <c r="Q27" s="358"/>
      <c r="R27" s="358"/>
      <c r="S27" s="358"/>
      <c r="T27" s="358"/>
      <c r="U27" s="358"/>
      <c r="V27" s="358"/>
      <c r="W27" s="358"/>
      <c r="X27" s="358"/>
    </row>
    <row r="28" spans="1:24">
      <c r="A28" s="1407"/>
      <c r="B28" s="2156"/>
      <c r="C28" s="2176"/>
      <c r="D28" s="2156"/>
      <c r="E28" s="1405"/>
      <c r="F28" s="1214"/>
      <c r="G28" s="1405"/>
      <c r="H28" s="1214"/>
      <c r="I28" s="1405"/>
      <c r="J28" s="2176"/>
      <c r="K28" s="1405"/>
      <c r="L28" s="2156"/>
      <c r="M28" s="2156"/>
      <c r="N28" s="2156"/>
      <c r="O28" s="2156"/>
      <c r="P28" s="2156"/>
      <c r="Q28" s="2156"/>
      <c r="R28" s="2156"/>
      <c r="S28" s="2156"/>
      <c r="T28" s="2156"/>
      <c r="U28" s="2156"/>
      <c r="V28" s="2156"/>
      <c r="W28" s="2156"/>
      <c r="X28" s="2156"/>
    </row>
    <row r="29" spans="1:24" ht="15.75">
      <c r="A29" s="225" t="s">
        <v>24</v>
      </c>
      <c r="B29" s="2156"/>
      <c r="C29" s="2176"/>
      <c r="D29" s="2156"/>
      <c r="E29" s="1214"/>
      <c r="F29" s="1214"/>
      <c r="G29" s="1214"/>
      <c r="H29" s="1214"/>
      <c r="I29" s="1214"/>
      <c r="J29" s="2176"/>
      <c r="K29" s="1214"/>
      <c r="L29" s="2156"/>
      <c r="M29" s="2156"/>
      <c r="N29" s="2156"/>
      <c r="O29" s="2156"/>
      <c r="P29" s="2156"/>
      <c r="Q29" s="2156"/>
      <c r="R29" s="2156"/>
      <c r="S29" s="2156"/>
      <c r="T29" s="2156"/>
      <c r="U29" s="2156"/>
      <c r="V29" s="2156"/>
      <c r="W29" s="2156"/>
      <c r="X29" s="2156"/>
    </row>
    <row r="30" spans="1:24">
      <c r="A30" s="1863" t="s">
        <v>97</v>
      </c>
      <c r="B30" s="2178"/>
      <c r="C30" s="1372">
        <f>+'Exh D Special Revenue State Fed'!C30+'Exh D Special Revenue State Fed'!N30</f>
        <v>32529</v>
      </c>
      <c r="D30" s="2178"/>
      <c r="E30" s="1372">
        <f>+'Exh D Special Revenue State Fed'!E30+'Exh D Special Revenue State Fed'!P30</f>
        <v>33394</v>
      </c>
      <c r="F30" s="1214"/>
      <c r="G30" s="1372">
        <f>+'Exh D Special Revenue State Fed'!G30+'Exh D Special Revenue State Fed'!R30</f>
        <v>33363.9</v>
      </c>
      <c r="H30" s="1214"/>
      <c r="I30" s="1214">
        <f>ROUND(SUM(G30)-SUM(C30),1)</f>
        <v>834.9</v>
      </c>
      <c r="J30" s="2176"/>
      <c r="K30" s="1214">
        <f>ROUND(SUM(G30)-SUM(E30),1)</f>
        <v>-30.1</v>
      </c>
      <c r="L30" s="2181"/>
      <c r="M30" s="2156"/>
      <c r="N30" s="2181"/>
      <c r="O30" s="2156"/>
      <c r="P30" s="2181"/>
      <c r="Q30" s="2182"/>
      <c r="R30" s="2156"/>
      <c r="S30" s="2156"/>
      <c r="T30" s="2156"/>
      <c r="U30" s="2156"/>
      <c r="V30" s="2156"/>
      <c r="W30" s="2156"/>
      <c r="X30" s="2156"/>
    </row>
    <row r="31" spans="1:24">
      <c r="A31" s="1863" t="s">
        <v>98</v>
      </c>
      <c r="B31" s="2178"/>
      <c r="C31" s="1372">
        <f>+'Exh D Special Revenue State Fed'!C31+'Exh D Special Revenue State Fed'!N31</f>
        <v>7159</v>
      </c>
      <c r="D31" s="2178"/>
      <c r="E31" s="1372">
        <f>+'Exh D Special Revenue State Fed'!E31+'Exh D Special Revenue State Fed'!P31</f>
        <v>7088</v>
      </c>
      <c r="F31" s="1214"/>
      <c r="G31" s="1372">
        <f>+'Exh D Special Revenue State Fed'!G31+'Exh D Special Revenue State Fed'!R31</f>
        <v>7095.2999999999993</v>
      </c>
      <c r="H31" s="1214"/>
      <c r="I31" s="1214">
        <f>ROUND(SUM(G31)-SUM(C31),1)</f>
        <v>-63.7</v>
      </c>
      <c r="J31" s="2176"/>
      <c r="K31" s="1214">
        <f>ROUND(SUM(G31)-SUM(E31),1)</f>
        <v>7.3</v>
      </c>
      <c r="L31" s="2178"/>
      <c r="M31" s="2156"/>
      <c r="N31" s="2178"/>
      <c r="O31" s="2156"/>
      <c r="P31" s="2181"/>
      <c r="Q31" s="2156"/>
      <c r="R31" s="2156"/>
      <c r="S31" s="2181"/>
      <c r="T31" s="2181"/>
      <c r="U31" s="2156"/>
      <c r="V31" s="2181"/>
      <c r="W31" s="2156"/>
      <c r="X31" s="2181"/>
    </row>
    <row r="32" spans="1:24">
      <c r="A32" s="1863" t="s">
        <v>73</v>
      </c>
      <c r="B32" s="2178"/>
      <c r="C32" s="1372">
        <f>+'Exh D Special Revenue State Fed'!C32+'Exh D Special Revenue State Fed'!N32</f>
        <v>1163</v>
      </c>
      <c r="D32" s="2178"/>
      <c r="E32" s="1400">
        <f>+'Exh D Special Revenue State Fed'!E32+'Exh D Special Revenue State Fed'!P32</f>
        <v>1145</v>
      </c>
      <c r="F32" s="1214"/>
      <c r="G32" s="1372">
        <f>+'Exh D Special Revenue State Fed'!G32+'Exh D Special Revenue State Fed'!R32</f>
        <v>1175.7</v>
      </c>
      <c r="H32" s="1214"/>
      <c r="I32" s="1214">
        <f>ROUND(SUM(G32)-SUM(C32),1)</f>
        <v>12.7</v>
      </c>
      <c r="J32" s="2176"/>
      <c r="K32" s="1214">
        <f>ROUND(SUM(G32)-SUM(E32),1)</f>
        <v>30.7</v>
      </c>
      <c r="L32" s="2181"/>
      <c r="M32" s="2156"/>
      <c r="N32" s="2181"/>
      <c r="O32" s="2156"/>
      <c r="P32" s="2181"/>
      <c r="Q32" s="2182"/>
      <c r="R32" s="2156"/>
      <c r="S32" s="2181"/>
      <c r="T32" s="2181"/>
      <c r="U32" s="2156"/>
      <c r="V32" s="2181"/>
      <c r="W32" s="2156"/>
      <c r="X32" s="2181"/>
    </row>
    <row r="33" spans="1:24">
      <c r="A33" s="1863" t="s">
        <v>43</v>
      </c>
      <c r="B33" s="2178"/>
      <c r="C33" s="1403">
        <f>+'Exh D Special Revenue State Fed'!C33+'Exh D Special Revenue State Fed'!N33</f>
        <v>0</v>
      </c>
      <c r="D33" s="2178"/>
      <c r="E33" s="1403">
        <f>+'Exh D Special Revenue State Fed'!E33+'Exh D Special Revenue State Fed'!P33</f>
        <v>-1</v>
      </c>
      <c r="F33" s="1214"/>
      <c r="G33" s="1403">
        <f>+'Exh D Special Revenue State Fed'!G33+'Exh D Special Revenue State Fed'!R33</f>
        <v>1</v>
      </c>
      <c r="H33" s="1214"/>
      <c r="I33" s="1214">
        <f>ROUND(SUM(G33)-SUM(C33),1)</f>
        <v>1</v>
      </c>
      <c r="J33" s="2176"/>
      <c r="K33" s="1214">
        <f>ROUND(SUM(G33)-SUM(E33),1)</f>
        <v>2</v>
      </c>
      <c r="L33" s="2181"/>
      <c r="M33" s="2156"/>
      <c r="N33" s="2181"/>
      <c r="O33" s="2156"/>
      <c r="P33" s="2181"/>
      <c r="Q33" s="2182"/>
      <c r="R33" s="2156"/>
      <c r="S33" s="2156"/>
      <c r="T33" s="2156"/>
      <c r="U33" s="2156"/>
      <c r="V33" s="2156"/>
      <c r="W33" s="2156"/>
      <c r="X33" s="2156"/>
    </row>
    <row r="34" spans="1:24">
      <c r="A34" s="1863" t="s">
        <v>102</v>
      </c>
      <c r="B34" s="2178"/>
      <c r="C34" s="1372">
        <f>+'Exh D Special Revenue State Fed'!C34+'Exh D Special Revenue State Fed'!N34</f>
        <v>1822</v>
      </c>
      <c r="D34" s="2178"/>
      <c r="E34" s="1372">
        <f>+'Exh D Special Revenue State Fed'!E34+'Exh D Special Revenue State Fed'!P34</f>
        <v>1675</v>
      </c>
      <c r="F34" s="1214"/>
      <c r="G34" s="1372">
        <f>+'Exh D Special Revenue State Fed'!G34+'Exh D Special Revenue State Fed'!R34</f>
        <v>1431.2</v>
      </c>
      <c r="H34" s="1214"/>
      <c r="I34" s="1214">
        <f>ROUND(SUM(G34)-SUM(C34),1)</f>
        <v>-390.8</v>
      </c>
      <c r="J34" s="2176"/>
      <c r="K34" s="1214">
        <f>ROUND(SUM(G34)-SUM(E34),1)</f>
        <v>-243.8</v>
      </c>
      <c r="L34" s="2181"/>
      <c r="M34" s="2156"/>
      <c r="N34" s="2181"/>
      <c r="O34" s="2156"/>
      <c r="P34" s="2181"/>
      <c r="Q34" s="2182"/>
      <c r="R34" s="2156"/>
      <c r="S34" s="2156"/>
      <c r="T34" s="2156"/>
      <c r="U34" s="2156"/>
      <c r="V34" s="2156"/>
      <c r="W34" s="2156"/>
      <c r="X34" s="2156"/>
    </row>
    <row r="35" spans="1:24" ht="18" customHeight="1">
      <c r="A35" s="2517" t="s">
        <v>123</v>
      </c>
      <c r="B35" s="358"/>
      <c r="C35" s="550">
        <f>ROUND(SUM(C30:C34),1)</f>
        <v>42673</v>
      </c>
      <c r="D35" s="358"/>
      <c r="E35" s="425">
        <f>ROUND(SUM(E30:E34),1)</f>
        <v>43301</v>
      </c>
      <c r="F35" s="2154"/>
      <c r="G35" s="425">
        <f>ROUND(SUM(G30:G34),1)</f>
        <v>43067.1</v>
      </c>
      <c r="H35" s="2154"/>
      <c r="I35" s="425">
        <f>ROUND(SUM(I30:I34),1)</f>
        <v>394.1</v>
      </c>
      <c r="J35" s="277"/>
      <c r="K35" s="425">
        <f>ROUND(SUM(K30:K34),1)</f>
        <v>-233.9</v>
      </c>
      <c r="L35" s="358"/>
      <c r="M35" s="358"/>
      <c r="N35" s="358"/>
      <c r="O35" s="358"/>
      <c r="P35" s="358"/>
      <c r="Q35" s="358"/>
      <c r="R35" s="358"/>
      <c r="S35" s="358"/>
      <c r="T35" s="358"/>
      <c r="U35" s="358"/>
      <c r="V35" s="358"/>
      <c r="W35" s="358"/>
      <c r="X35" s="358"/>
    </row>
    <row r="36" spans="1:24">
      <c r="A36" s="1407"/>
      <c r="B36" s="2156"/>
      <c r="C36" s="2176"/>
      <c r="D36" s="2156"/>
      <c r="E36" s="1405"/>
      <c r="F36" s="1214"/>
      <c r="G36" s="1405"/>
      <c r="H36" s="1214"/>
      <c r="I36" s="1405"/>
      <c r="J36" s="2176"/>
      <c r="K36" s="1405"/>
      <c r="L36" s="2156"/>
      <c r="M36" s="2156"/>
      <c r="N36" s="2156"/>
      <c r="O36" s="2156"/>
      <c r="P36" s="2156"/>
      <c r="Q36" s="2156"/>
      <c r="R36" s="2156"/>
      <c r="S36" s="2156"/>
      <c r="T36" s="2156"/>
      <c r="U36" s="2156"/>
      <c r="V36" s="2156"/>
      <c r="W36" s="2156"/>
      <c r="X36" s="2156"/>
    </row>
    <row r="37" spans="1:24" ht="15.75">
      <c r="A37" s="225" t="s">
        <v>124</v>
      </c>
      <c r="B37" s="2156"/>
      <c r="C37" s="2176"/>
      <c r="D37" s="2156"/>
      <c r="E37" s="1214"/>
      <c r="F37" s="1214"/>
      <c r="G37" s="1214"/>
      <c r="H37" s="1214"/>
      <c r="I37" s="1214"/>
      <c r="J37" s="2176"/>
      <c r="K37" s="1214"/>
      <c r="L37" s="2156"/>
      <c r="M37" s="2156"/>
      <c r="N37" s="2156"/>
      <c r="O37" s="2156"/>
      <c r="P37" s="2156"/>
      <c r="Q37" s="2156"/>
      <c r="R37" s="2156"/>
      <c r="S37" s="2156"/>
      <c r="T37" s="2156"/>
      <c r="U37" s="2156"/>
      <c r="V37" s="2156"/>
      <c r="W37" s="2156"/>
      <c r="X37" s="2156"/>
    </row>
    <row r="38" spans="1:24" ht="15.75">
      <c r="A38" s="225" t="s">
        <v>125</v>
      </c>
      <c r="B38" s="2156"/>
      <c r="C38" s="2176"/>
      <c r="D38" s="2156"/>
      <c r="E38" s="1214"/>
      <c r="F38" s="1214"/>
      <c r="G38" s="1214"/>
      <c r="H38" s="1214"/>
      <c r="I38" s="1214"/>
      <c r="J38" s="2176"/>
      <c r="K38" s="1214"/>
      <c r="L38" s="2156"/>
      <c r="M38" s="2156"/>
      <c r="N38" s="2156"/>
      <c r="O38" s="2156"/>
      <c r="P38" s="2156"/>
      <c r="Q38" s="2156"/>
      <c r="R38" s="2156"/>
      <c r="S38" s="2156"/>
      <c r="T38" s="2156"/>
      <c r="U38" s="2156"/>
      <c r="V38" s="2156"/>
      <c r="W38" s="2156"/>
      <c r="X38" s="2156"/>
    </row>
    <row r="39" spans="1:24" ht="15.75">
      <c r="A39" s="2517" t="s">
        <v>106</v>
      </c>
      <c r="B39" s="382"/>
      <c r="C39" s="277">
        <f>ROUND(SUM(C27)-SUM(C35),1)</f>
        <v>-94</v>
      </c>
      <c r="D39" s="382"/>
      <c r="E39" s="277">
        <f>ROUND(SUM(E27)-SUM(E35),1)</f>
        <v>-410</v>
      </c>
      <c r="F39" s="288"/>
      <c r="G39" s="277">
        <f>ROUND(SUM(G27)-SUM(G35),1)</f>
        <v>-401</v>
      </c>
      <c r="H39" s="288"/>
      <c r="I39" s="277">
        <f>ROUND(SUM(I27)-SUM(I35),1)</f>
        <v>-307</v>
      </c>
      <c r="J39" s="758"/>
      <c r="K39" s="277">
        <f>ROUND(SUM(K27)-SUM(K35),1)</f>
        <v>9</v>
      </c>
      <c r="L39" s="358"/>
      <c r="M39" s="381"/>
      <c r="N39" s="358"/>
      <c r="O39" s="381"/>
      <c r="P39" s="358"/>
      <c r="Q39" s="358"/>
      <c r="R39" s="381"/>
      <c r="S39" s="358"/>
      <c r="T39" s="358"/>
      <c r="U39" s="381"/>
      <c r="V39" s="358"/>
      <c r="W39" s="381"/>
      <c r="X39" s="358"/>
    </row>
    <row r="40" spans="1:24" ht="15" customHeight="1">
      <c r="C40" s="1312"/>
      <c r="E40" s="1312"/>
      <c r="F40" s="2165"/>
      <c r="G40" s="1312"/>
      <c r="H40" s="2165"/>
      <c r="I40" s="1312"/>
      <c r="J40" s="1312"/>
      <c r="K40" s="1312"/>
    </row>
    <row r="41" spans="1:24" ht="15.75">
      <c r="A41" s="2517" t="str">
        <f>+'Exh D-Governmental  '!A49</f>
        <v>Fund Balances (Deficits) at April 1</v>
      </c>
      <c r="C41" s="277">
        <v>2364</v>
      </c>
      <c r="E41" s="277">
        <v>2364</v>
      </c>
      <c r="F41" s="2165"/>
      <c r="G41" s="277">
        <f>'Exh D Special Revenue State Fed'!G41+'Exh D Special Revenue State Fed'!R41</f>
        <v>2362.9</v>
      </c>
      <c r="H41" s="2165"/>
      <c r="I41" s="285">
        <f>ROUND(SUM(G41-C41),1)</f>
        <v>-1.1000000000000001</v>
      </c>
      <c r="J41" s="1312"/>
      <c r="K41" s="285">
        <f>ROUND(SUM(G41-E41),1)</f>
        <v>-1.1000000000000001</v>
      </c>
    </row>
    <row r="42" spans="1:24" ht="18" customHeight="1" thickBot="1">
      <c r="A42" s="2918" t="str">
        <f>+'Exh D-Governmental  '!A50</f>
        <v>Fund Balances (Deficits) at October 31</v>
      </c>
      <c r="B42" s="382"/>
      <c r="C42" s="303">
        <f>ROUND(SUM(C39:C41),1)</f>
        <v>2270</v>
      </c>
      <c r="D42" s="382"/>
      <c r="E42" s="303">
        <f>ROUND(SUM(E39:E41),1)</f>
        <v>1954</v>
      </c>
      <c r="F42" s="388"/>
      <c r="G42" s="303">
        <f>ROUND(SUM(G39:G41),1)</f>
        <v>1961.9</v>
      </c>
      <c r="H42" s="388"/>
      <c r="I42" s="303">
        <f>ROUND(SUM(I39:I41),1)</f>
        <v>-308.10000000000002</v>
      </c>
      <c r="K42" s="303">
        <f>ROUND(SUM(K39:K41),1)</f>
        <v>7.9</v>
      </c>
    </row>
    <row r="43" spans="1:24" ht="15" customHeight="1" thickTop="1">
      <c r="A43" s="362"/>
      <c r="E43" s="1406"/>
      <c r="F43" s="2185"/>
      <c r="G43" s="2185"/>
      <c r="H43" s="2185"/>
      <c r="I43" s="2185"/>
      <c r="K43" s="2185"/>
    </row>
    <row r="44" spans="1:24">
      <c r="A44" s="2169" t="s">
        <v>1493</v>
      </c>
    </row>
    <row r="45" spans="1:24">
      <c r="A45" s="2658" t="s">
        <v>1651</v>
      </c>
    </row>
    <row r="46" spans="1:24">
      <c r="A46" s="2186"/>
    </row>
    <row r="47" spans="1:24">
      <c r="A47" s="2186"/>
    </row>
    <row r="48" spans="1:24">
      <c r="A48" s="2186"/>
    </row>
    <row r="49" spans="1:1">
      <c r="A49" s="2186"/>
    </row>
    <row r="51" spans="1:1">
      <c r="A51" s="411"/>
    </row>
    <row r="52" spans="1:1">
      <c r="A52" s="411"/>
    </row>
  </sheetData>
  <customSheetViews>
    <customSheetView guid="{BD09DBC2-63A5-4D9C-9B00-4281066E9389}" scale="80" showPageBreaks="1" showGridLines="0" printArea="1" topLeftCell="A5">
      <selection activeCell="I41" sqref="I41"/>
      <pageMargins left="0.7" right="0.7" top="0.75" bottom="0.6" header="0.3" footer="0.3"/>
      <pageSetup scale="60" firstPageNumber="10" orientation="landscape" useFirstPageNumber="1" r:id="rId1"/>
      <headerFooter>
        <oddFooter>&amp;C&amp;P</oddFooter>
      </headerFooter>
    </customSheetView>
    <customSheetView guid="{C82E0A7D-2B5B-48FC-A705-3168E651E04C}" scale="80" showPageBreaks="1" showGridLines="0" fitToPage="1" printArea="1" topLeftCell="A10">
      <selection activeCell="A12" sqref="A12"/>
      <pageMargins left="0.7" right="0.7" top="0.75" bottom="0.6" header="0.3" footer="0.3"/>
      <pageSetup scale="68" orientation="landscape" r:id="rId2"/>
      <headerFooter scaleWithDoc="0">
        <oddFooter>&amp;C&amp;8 10</oddFooter>
      </headerFooter>
    </customSheetView>
    <customSheetView guid="{A8B05C3B-0E7E-44A3-A097-AF4C5C09F04E}" scale="80" showPageBreaks="1" showGridLines="0" fitToPage="1" printArea="1" topLeftCell="A10">
      <selection activeCell="A12" sqref="A12"/>
      <pageMargins left="0.7" right="0.7" top="0.75" bottom="0.6" header="0.3" footer="0.3"/>
      <pageSetup scale="68" orientation="landscape" r:id="rId3"/>
      <headerFooter scaleWithDoc="0">
        <oddFooter>&amp;C&amp;8 10</oddFooter>
      </headerFooter>
    </customSheetView>
    <customSheetView guid="{8EE6466D-211E-4E05-9F84-CC0A1C6F79F4}" scale="80" showGridLines="0" fitToPage="1" topLeftCell="A10">
      <selection activeCell="A12" sqref="A12"/>
      <pageMargins left="0.7" right="0.7" top="0.75" bottom="0.6" header="0.3" footer="0.3"/>
      <pageSetup scale="68" orientation="landscape" r:id="rId4"/>
      <headerFooter scaleWithDoc="0">
        <oddFooter>&amp;C&amp;8 10</oddFooter>
      </headerFooter>
    </customSheetView>
    <customSheetView guid="{4735AAE3-27B4-4549-AAB4-50ACA997F5F5}" scale="80" showPageBreaks="1" showGridLines="0" fitToPage="1" printArea="1">
      <selection activeCell="K42" sqref="K42"/>
      <pageMargins left="0.7" right="0.7" top="0.75" bottom="0.6" header="0.3" footer="0.3"/>
      <pageSetup scale="68" orientation="landscape" r:id="rId5"/>
      <headerFooter scaleWithDoc="0">
        <oddFooter>&amp;C&amp;8 10</oddFooter>
      </headerFooter>
    </customSheetView>
    <customSheetView guid="{80622567-647A-4891-B8EE-6B9E2C4DAC44}" scale="80" showPageBreaks="1" showGridLines="0" fitToPage="1" printArea="1" topLeftCell="A10">
      <selection activeCell="G23" sqref="G23"/>
      <pageMargins left="0.7" right="0.7" top="0.75" bottom="0.6" header="0.3" footer="0.3"/>
      <pageSetup scale="68" orientation="landscape" r:id="rId6"/>
      <headerFooter scaleWithDoc="0">
        <oddFooter>&amp;C&amp;8 10</oddFooter>
      </headerFooter>
    </customSheetView>
    <customSheetView guid="{A97EE6C3-4DA8-41BD-BE43-F596EFCB43CA}" scale="80" showPageBreaks="1" showGridLines="0" fitToPage="1" printArea="1" topLeftCell="A10">
      <selection activeCell="A32" sqref="A32"/>
      <pageMargins left="0.7" right="0.7" top="0.75" bottom="0.6" header="0.3" footer="0.3"/>
      <pageSetup scale="68" orientation="landscape" r:id="rId7"/>
      <headerFooter scaleWithDoc="0">
        <oddFooter>&amp;C&amp;8 10</oddFooter>
      </headerFooter>
    </customSheetView>
    <customSheetView guid="{90B76C5A-2FC4-40F0-8436-3E4F075A4887}" scale="70" showPageBreaks="1" showGridLines="0" fitToPage="1" printArea="1">
      <selection activeCell="G23" sqref="G23"/>
      <pageMargins left="0.7" right="0.7" top="0.75" bottom="0.6" header="0.3" footer="0.3"/>
      <pageSetup scale="68" orientation="landscape" r:id="rId8"/>
      <headerFooter scaleWithDoc="0">
        <oddFooter>&amp;C&amp;8 10</oddFooter>
      </headerFooter>
    </customSheetView>
  </customSheetViews>
  <pageMargins left="0.7" right="0.7" top="0.75" bottom="0.6" header="0.3" footer="0.3"/>
  <pageSetup scale="60" firstPageNumber="10" orientation="landscape" useFirstPageNumber="1" r:id="rId9"/>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dimension ref="A1:AW50"/>
  <sheetViews>
    <sheetView showGridLines="0" zoomScale="70" zoomScaleNormal="70" workbookViewId="0"/>
  </sheetViews>
  <sheetFormatPr defaultRowHeight="15"/>
  <cols>
    <col min="1" max="1" width="53.109375" style="2164" customWidth="1"/>
    <col min="2" max="2" width="0.77734375" style="1173" customWidth="1"/>
    <col min="3" max="3" width="15.77734375" style="806" customWidth="1"/>
    <col min="4" max="4" width="0.77734375" style="2168" customWidth="1"/>
    <col min="5" max="5" width="15.77734375" style="806" customWidth="1"/>
    <col min="6" max="6" width="0.77734375" style="2168" customWidth="1"/>
    <col min="7" max="7" width="15.77734375" style="2168" customWidth="1"/>
    <col min="8" max="8" width="0.6640625" style="2168" customWidth="1"/>
    <col min="9" max="9" width="15.77734375" style="2168" customWidth="1"/>
    <col min="10" max="10" width="0.77734375" style="2168" customWidth="1"/>
    <col min="11" max="11" width="15.77734375" style="2168" customWidth="1"/>
    <col min="12" max="12" width="1.6640625" style="1173" customWidth="1"/>
    <col min="13" max="13" width="0.6640625" style="1173" customWidth="1"/>
    <col min="14" max="14" width="15.77734375" style="1173" customWidth="1"/>
    <col min="15" max="15" width="1.33203125" style="1173" customWidth="1"/>
    <col min="16" max="16" width="15.77734375" style="1173" customWidth="1"/>
    <col min="17" max="17" width="1.33203125" style="1173" customWidth="1"/>
    <col min="18" max="18" width="15.77734375" style="1173" customWidth="1"/>
    <col min="19" max="19" width="0.5546875" style="1173" customWidth="1"/>
    <col min="20" max="20" width="15.77734375" style="1173" customWidth="1"/>
    <col min="21" max="21" width="1.33203125" style="1173" customWidth="1"/>
    <col min="22" max="22" width="15.77734375" style="806" customWidth="1"/>
    <col min="23" max="23" width="1" style="1173" customWidth="1"/>
    <col min="24" max="24" width="3.6640625" style="806" customWidth="1"/>
    <col min="25" max="25" width="1" style="1173" customWidth="1"/>
    <col min="26" max="26" width="15.77734375" style="1173" customWidth="1"/>
    <col min="27" max="27" width="0.77734375" style="1173" customWidth="1"/>
    <col min="28" max="28" width="15.77734375" style="1173" customWidth="1"/>
    <col min="29" max="29" width="0.33203125" style="1173" customWidth="1"/>
    <col min="30" max="30" width="11.88671875" style="1173" customWidth="1"/>
    <col min="31" max="31" width="11.44140625" style="1173" customWidth="1"/>
    <col min="32" max="32" width="1.88671875" style="1173" customWidth="1"/>
    <col min="33" max="33" width="11.6640625" style="1173" customWidth="1"/>
    <col min="34" max="34" width="2.109375" style="1173" customWidth="1"/>
    <col min="35" max="35" width="11.44140625" style="1173" customWidth="1"/>
    <col min="36" max="36" width="0.5546875" style="1173" customWidth="1"/>
    <col min="37" max="37" width="2.33203125" style="1173" customWidth="1"/>
    <col min="38" max="38" width="10.5546875" style="1173" customWidth="1"/>
    <col min="39" max="39" width="11.109375" style="1173" customWidth="1"/>
    <col min="40" max="40" width="2.21875" style="1173" customWidth="1"/>
    <col min="41" max="41" width="11.109375" style="1173" customWidth="1"/>
    <col min="42" max="42" width="2.109375" style="1173" customWidth="1"/>
    <col min="43" max="43" width="12.44140625" style="1173" customWidth="1"/>
    <col min="44" max="48" width="8.88671875" style="1173"/>
    <col min="49" max="49" width="8.88671875" style="2168"/>
    <col min="50" max="16384" width="8.88671875" style="2164"/>
  </cols>
  <sheetData>
    <row r="1" spans="1:49">
      <c r="A1" s="2170" t="s">
        <v>1322</v>
      </c>
      <c r="B1" s="393"/>
      <c r="C1" s="800"/>
      <c r="D1" s="394"/>
      <c r="E1" s="800"/>
      <c r="F1" s="394"/>
      <c r="G1" s="394"/>
      <c r="H1" s="394"/>
      <c r="I1" s="394"/>
      <c r="J1" s="394"/>
      <c r="K1" s="394"/>
      <c r="L1" s="393"/>
      <c r="M1" s="393"/>
      <c r="N1" s="393"/>
      <c r="O1" s="393"/>
      <c r="P1" s="393"/>
      <c r="Q1" s="393"/>
      <c r="R1" s="393"/>
      <c r="S1" s="393"/>
      <c r="T1" s="393"/>
      <c r="U1" s="393"/>
      <c r="V1" s="2634"/>
      <c r="W1" s="393"/>
      <c r="X1" s="2634"/>
      <c r="Y1" s="393"/>
      <c r="Z1" s="393"/>
      <c r="AA1" s="393"/>
      <c r="AB1" s="393"/>
      <c r="AC1" s="394"/>
      <c r="AD1" s="393"/>
      <c r="AE1" s="393"/>
      <c r="AF1" s="393"/>
      <c r="AG1" s="393"/>
      <c r="AH1" s="393"/>
      <c r="AI1" s="393"/>
      <c r="AJ1" s="393"/>
      <c r="AK1" s="393"/>
      <c r="AL1" s="393"/>
      <c r="AM1" s="393"/>
      <c r="AN1" s="393"/>
      <c r="AO1" s="393"/>
      <c r="AP1" s="393"/>
      <c r="AQ1" s="393"/>
      <c r="AR1" s="2164"/>
      <c r="AS1" s="2164"/>
      <c r="AT1" s="2164"/>
      <c r="AU1" s="2164"/>
      <c r="AV1" s="2164"/>
      <c r="AW1" s="2164"/>
    </row>
    <row r="2" spans="1:49" ht="17.25" customHeight="1">
      <c r="A2" s="395"/>
      <c r="B2" s="396"/>
      <c r="C2" s="801"/>
      <c r="D2" s="394"/>
      <c r="E2" s="801"/>
      <c r="F2" s="394"/>
      <c r="G2" s="394"/>
      <c r="H2" s="394"/>
      <c r="I2" s="394"/>
      <c r="J2" s="394"/>
      <c r="K2" s="394"/>
      <c r="L2" s="393"/>
      <c r="M2" s="393"/>
      <c r="N2" s="393"/>
      <c r="O2" s="393"/>
      <c r="P2" s="393"/>
      <c r="Q2" s="393"/>
      <c r="R2" s="393"/>
      <c r="S2" s="393"/>
      <c r="T2" s="393"/>
      <c r="U2" s="393"/>
      <c r="V2" s="2634"/>
      <c r="W2" s="393"/>
      <c r="X2" s="2634"/>
      <c r="Y2" s="393"/>
      <c r="Z2" s="2635"/>
      <c r="AA2" s="393"/>
      <c r="AB2" s="393"/>
      <c r="AC2" s="394"/>
      <c r="AD2" s="393"/>
      <c r="AE2" s="393"/>
      <c r="AF2" s="393"/>
      <c r="AG2" s="393"/>
      <c r="AH2" s="393"/>
      <c r="AI2" s="393"/>
      <c r="AJ2" s="393"/>
      <c r="AK2" s="393"/>
      <c r="AL2" s="393"/>
      <c r="AM2" s="393"/>
      <c r="AN2" s="393"/>
      <c r="AO2" s="393"/>
      <c r="AP2" s="393"/>
      <c r="AQ2" s="393"/>
      <c r="AR2" s="2164"/>
      <c r="AS2" s="2164"/>
      <c r="AT2" s="2164"/>
      <c r="AU2" s="2164"/>
      <c r="AV2" s="2164"/>
      <c r="AW2" s="2164"/>
    </row>
    <row r="3" spans="1:49" ht="21" customHeight="1">
      <c r="A3" s="398" t="s">
        <v>0</v>
      </c>
      <c r="B3" s="355"/>
      <c r="C3" s="802"/>
      <c r="D3" s="349"/>
      <c r="E3" s="802"/>
      <c r="F3" s="349"/>
      <c r="G3" s="349"/>
      <c r="H3" s="349"/>
      <c r="I3" s="349"/>
      <c r="J3" s="349"/>
      <c r="K3" s="349"/>
      <c r="L3" s="363"/>
      <c r="M3" s="363"/>
      <c r="N3" s="363"/>
      <c r="O3" s="363"/>
      <c r="P3" s="363"/>
      <c r="Q3" s="363"/>
      <c r="R3" s="363"/>
      <c r="S3" s="363"/>
      <c r="T3" s="1872"/>
      <c r="U3" s="363"/>
      <c r="V3" s="1872" t="s">
        <v>87</v>
      </c>
      <c r="W3" s="363"/>
      <c r="X3" s="2636"/>
      <c r="Y3" s="363"/>
      <c r="Z3" s="363"/>
      <c r="AA3" s="363"/>
      <c r="AB3" s="2637"/>
      <c r="AC3" s="349"/>
      <c r="AD3" s="363"/>
      <c r="AE3" s="363"/>
      <c r="AF3" s="363"/>
      <c r="AG3" s="363"/>
      <c r="AH3" s="363"/>
      <c r="AI3" s="363"/>
      <c r="AJ3" s="363"/>
      <c r="AK3" s="363"/>
      <c r="AL3" s="363"/>
      <c r="AM3" s="363"/>
      <c r="AN3" s="363"/>
      <c r="AO3" s="363"/>
      <c r="AP3" s="363"/>
      <c r="AQ3" s="399"/>
      <c r="AR3" s="2164"/>
      <c r="AS3" s="2164"/>
      <c r="AT3" s="2164"/>
      <c r="AU3" s="2164"/>
      <c r="AV3" s="2164"/>
      <c r="AW3" s="2164"/>
    </row>
    <row r="4" spans="1:49" ht="21.75" customHeight="1">
      <c r="A4" s="398" t="s">
        <v>86</v>
      </c>
      <c r="B4" s="355"/>
      <c r="C4" s="802"/>
      <c r="D4" s="349"/>
      <c r="E4" s="802"/>
      <c r="F4" s="349"/>
      <c r="G4" s="349"/>
      <c r="H4" s="349"/>
      <c r="I4" s="349"/>
      <c r="J4" s="349"/>
      <c r="K4" s="349"/>
      <c r="L4" s="363"/>
      <c r="M4" s="363"/>
      <c r="N4" s="363"/>
      <c r="O4" s="363"/>
      <c r="P4" s="363"/>
      <c r="Q4" s="363"/>
      <c r="R4" s="363"/>
      <c r="S4" s="363"/>
      <c r="T4" s="1873"/>
      <c r="U4" s="363"/>
      <c r="V4" s="1873" t="s">
        <v>108</v>
      </c>
      <c r="W4" s="363"/>
      <c r="X4" s="2636"/>
      <c r="Y4" s="363"/>
      <c r="Z4" s="363"/>
      <c r="AA4" s="363"/>
      <c r="AB4" s="2638"/>
      <c r="AC4" s="349"/>
      <c r="AD4" s="363"/>
      <c r="AE4" s="363"/>
      <c r="AF4" s="363"/>
      <c r="AG4" s="363"/>
      <c r="AH4" s="363"/>
      <c r="AI4" s="363"/>
      <c r="AJ4" s="363"/>
      <c r="AK4" s="363"/>
      <c r="AL4" s="363"/>
      <c r="AM4" s="363"/>
      <c r="AN4" s="363"/>
      <c r="AO4" s="363"/>
      <c r="AP4" s="363"/>
      <c r="AQ4" s="363"/>
      <c r="AR4" s="2164"/>
      <c r="AS4" s="2164"/>
      <c r="AT4" s="2164"/>
      <c r="AU4" s="2164"/>
      <c r="AV4" s="2164"/>
      <c r="AW4" s="2164"/>
    </row>
    <row r="5" spans="1:49" ht="21.75" customHeight="1">
      <c r="A5" s="3352" t="s">
        <v>1176</v>
      </c>
      <c r="B5" s="3353"/>
      <c r="C5" s="3353"/>
      <c r="D5" s="3353"/>
      <c r="E5" s="3353"/>
      <c r="F5" s="349"/>
      <c r="G5" s="1857"/>
      <c r="H5" s="349"/>
      <c r="I5" s="349"/>
      <c r="J5" s="349"/>
      <c r="K5" s="349"/>
      <c r="L5" s="363"/>
      <c r="M5" s="363"/>
      <c r="N5" s="363"/>
      <c r="O5" s="363"/>
      <c r="P5" s="363"/>
      <c r="Q5" s="363"/>
      <c r="R5" s="363"/>
      <c r="S5" s="363"/>
      <c r="T5" s="363"/>
      <c r="U5" s="363"/>
      <c r="V5" s="2636"/>
      <c r="W5" s="363"/>
      <c r="X5" s="2636"/>
      <c r="Y5" s="363"/>
      <c r="Z5" s="363"/>
      <c r="AA5" s="363"/>
      <c r="AB5" s="363"/>
      <c r="AC5" s="349"/>
      <c r="AD5" s="363"/>
      <c r="AE5" s="363"/>
      <c r="AF5" s="363"/>
      <c r="AG5" s="363"/>
      <c r="AH5" s="363"/>
      <c r="AI5" s="363"/>
      <c r="AJ5" s="363"/>
      <c r="AK5" s="363"/>
      <c r="AL5" s="363"/>
      <c r="AM5" s="363"/>
      <c r="AN5" s="363"/>
      <c r="AO5" s="363"/>
      <c r="AP5" s="363"/>
      <c r="AQ5" s="363"/>
      <c r="AR5" s="2164"/>
      <c r="AS5" s="2164"/>
      <c r="AT5" s="2164"/>
      <c r="AU5" s="2164"/>
      <c r="AV5" s="2164"/>
      <c r="AW5" s="2164"/>
    </row>
    <row r="6" spans="1:49" ht="17.25" customHeight="1">
      <c r="A6" s="353" t="str">
        <f>'Exh D-Governmental  '!A6</f>
        <v>FOR SEVEN MONTHS ENDED OCTOBER 31, 2014</v>
      </c>
      <c r="B6" s="354"/>
      <c r="C6" s="802"/>
      <c r="D6" s="349"/>
      <c r="E6" s="802"/>
      <c r="F6" s="349"/>
      <c r="G6" s="349"/>
      <c r="H6" s="349"/>
      <c r="I6" s="349"/>
      <c r="J6" s="349"/>
      <c r="K6" s="349"/>
      <c r="L6" s="363"/>
      <c r="M6" s="363"/>
      <c r="N6" s="363"/>
      <c r="O6" s="363"/>
      <c r="P6" s="363"/>
      <c r="Q6" s="363"/>
      <c r="R6" s="363"/>
      <c r="S6" s="363"/>
      <c r="T6" s="363"/>
      <c r="U6" s="363"/>
      <c r="V6" s="2636"/>
      <c r="W6" s="363"/>
      <c r="X6" s="2636"/>
      <c r="Y6" s="363"/>
      <c r="Z6" s="363"/>
      <c r="AA6" s="363"/>
      <c r="AB6" s="363"/>
      <c r="AC6" s="349"/>
      <c r="AD6" s="363"/>
      <c r="AE6" s="363"/>
      <c r="AF6" s="363"/>
      <c r="AG6" s="363"/>
      <c r="AH6" s="363"/>
      <c r="AI6" s="363"/>
      <c r="AJ6" s="363"/>
      <c r="AK6" s="363"/>
      <c r="AL6" s="363"/>
      <c r="AM6" s="363"/>
      <c r="AN6" s="363"/>
      <c r="AO6" s="363"/>
      <c r="AP6" s="363"/>
      <c r="AQ6" s="363"/>
      <c r="AR6" s="2164"/>
      <c r="AS6" s="2164"/>
      <c r="AT6" s="2164"/>
      <c r="AU6" s="2164"/>
      <c r="AV6" s="2164"/>
      <c r="AW6" s="2164"/>
    </row>
    <row r="7" spans="1:49" ht="18">
      <c r="A7" s="398" t="s">
        <v>1199</v>
      </c>
      <c r="B7" s="355"/>
      <c r="C7" s="802"/>
      <c r="D7" s="349"/>
      <c r="E7" s="802"/>
      <c r="F7" s="349"/>
      <c r="G7" s="349"/>
      <c r="H7" s="349"/>
      <c r="I7" s="349"/>
      <c r="J7" s="349"/>
      <c r="K7" s="349"/>
      <c r="L7" s="363"/>
      <c r="M7" s="363"/>
      <c r="N7" s="363"/>
      <c r="O7" s="363"/>
      <c r="P7" s="363"/>
      <c r="Q7" s="363"/>
      <c r="R7" s="363"/>
      <c r="S7" s="363"/>
      <c r="T7" s="363"/>
      <c r="U7" s="363"/>
      <c r="V7" s="2636"/>
      <c r="W7" s="363"/>
      <c r="X7" s="2636"/>
      <c r="Y7" s="363"/>
      <c r="Z7" s="363"/>
      <c r="AA7" s="363"/>
      <c r="AB7" s="363"/>
      <c r="AC7" s="349"/>
      <c r="AD7" s="363"/>
      <c r="AE7" s="363"/>
      <c r="AF7" s="363"/>
      <c r="AG7" s="363"/>
      <c r="AH7" s="363"/>
      <c r="AI7" s="363"/>
      <c r="AJ7" s="363"/>
      <c r="AK7" s="363"/>
      <c r="AL7" s="363"/>
      <c r="AM7" s="363"/>
      <c r="AN7" s="363"/>
      <c r="AO7" s="363"/>
      <c r="AP7" s="363"/>
      <c r="AQ7" s="363"/>
      <c r="AR7" s="2164"/>
      <c r="AS7" s="2164"/>
      <c r="AT7" s="2164"/>
      <c r="AU7" s="2164"/>
      <c r="AV7" s="2164"/>
      <c r="AW7" s="2164"/>
    </row>
    <row r="8" spans="1:49" ht="15" customHeight="1">
      <c r="A8" s="400"/>
      <c r="B8" s="354"/>
      <c r="C8" s="802"/>
      <c r="D8" s="349"/>
      <c r="E8" s="802"/>
      <c r="F8" s="349"/>
      <c r="G8" s="349"/>
      <c r="H8" s="349"/>
      <c r="I8" s="349"/>
      <c r="J8" s="349"/>
      <c r="K8" s="349"/>
      <c r="L8" s="363"/>
      <c r="M8" s="363"/>
      <c r="N8" s="363"/>
      <c r="O8" s="363"/>
      <c r="P8" s="363"/>
      <c r="Q8" s="363"/>
      <c r="R8" s="363"/>
      <c r="S8" s="363"/>
      <c r="T8" s="363"/>
      <c r="U8" s="363"/>
      <c r="V8" s="2636"/>
      <c r="W8" s="363"/>
      <c r="X8" s="2636"/>
      <c r="Y8" s="363"/>
      <c r="Z8" s="363"/>
      <c r="AA8" s="363"/>
      <c r="AB8" s="363"/>
      <c r="AC8" s="349"/>
      <c r="AD8" s="363"/>
      <c r="AE8" s="363"/>
      <c r="AF8" s="363"/>
      <c r="AG8" s="363"/>
      <c r="AH8" s="363"/>
      <c r="AI8" s="363"/>
      <c r="AJ8" s="363"/>
      <c r="AK8" s="363"/>
      <c r="AL8" s="363"/>
      <c r="AM8" s="363"/>
      <c r="AN8" s="363"/>
      <c r="AO8" s="363"/>
      <c r="AP8" s="363"/>
      <c r="AQ8" s="363"/>
      <c r="AR8" s="2164"/>
      <c r="AS8" s="2164"/>
      <c r="AT8" s="2164"/>
      <c r="AU8" s="2164"/>
      <c r="AV8" s="2164"/>
      <c r="AW8" s="2164"/>
    </row>
    <row r="9" spans="1:49">
      <c r="A9" s="357"/>
      <c r="B9" s="363"/>
      <c r="C9" s="803"/>
      <c r="D9" s="349"/>
      <c r="E9" s="803"/>
      <c r="F9" s="349"/>
      <c r="G9" s="349"/>
      <c r="H9" s="349"/>
      <c r="I9" s="349"/>
      <c r="J9" s="349"/>
      <c r="K9" s="349"/>
      <c r="L9" s="363"/>
      <c r="M9" s="363"/>
      <c r="N9" s="363"/>
      <c r="O9" s="363"/>
      <c r="P9" s="363"/>
      <c r="Q9" s="363"/>
      <c r="R9" s="363"/>
      <c r="S9" s="363"/>
      <c r="T9" s="363"/>
      <c r="U9" s="363"/>
      <c r="V9" s="2636"/>
      <c r="W9" s="363"/>
      <c r="X9" s="2636"/>
      <c r="Y9" s="363"/>
      <c r="Z9" s="363"/>
      <c r="AA9" s="363"/>
      <c r="AB9" s="363"/>
      <c r="AC9" s="349"/>
      <c r="AD9" s="363"/>
      <c r="AE9" s="363"/>
      <c r="AF9" s="363"/>
      <c r="AG9" s="363"/>
      <c r="AH9" s="363"/>
      <c r="AI9" s="363"/>
      <c r="AJ9" s="363"/>
      <c r="AK9" s="363"/>
      <c r="AL9" s="363"/>
      <c r="AM9" s="363"/>
      <c r="AN9" s="363"/>
      <c r="AO9" s="363"/>
      <c r="AP9" s="363"/>
      <c r="AQ9" s="363"/>
      <c r="AR9" s="2164"/>
      <c r="AS9" s="2164"/>
      <c r="AT9" s="2164"/>
      <c r="AU9" s="2164"/>
      <c r="AV9" s="2164"/>
      <c r="AW9" s="2164"/>
    </row>
    <row r="10" spans="1:49">
      <c r="A10" s="357"/>
      <c r="B10" s="363"/>
      <c r="C10" s="803"/>
      <c r="D10" s="349"/>
      <c r="E10" s="803"/>
      <c r="F10" s="349"/>
      <c r="G10" s="349"/>
      <c r="H10" s="349"/>
      <c r="I10" s="349"/>
      <c r="J10" s="349"/>
      <c r="K10" s="349"/>
      <c r="L10" s="363"/>
      <c r="M10" s="363"/>
      <c r="N10" s="363"/>
      <c r="O10" s="363"/>
      <c r="P10" s="363"/>
      <c r="Q10" s="363"/>
      <c r="R10" s="363"/>
      <c r="S10" s="363"/>
      <c r="T10" s="363"/>
      <c r="U10" s="363"/>
      <c r="V10" s="2237"/>
      <c r="W10" s="354"/>
      <c r="X10" s="2237"/>
      <c r="Y10" s="354"/>
      <c r="Z10" s="354"/>
      <c r="AA10" s="354"/>
      <c r="AB10" s="354"/>
      <c r="AC10" s="349"/>
      <c r="AD10" s="363"/>
      <c r="AE10" s="363"/>
      <c r="AF10" s="363"/>
      <c r="AG10" s="363"/>
      <c r="AH10" s="363"/>
      <c r="AI10" s="363"/>
      <c r="AJ10" s="363"/>
      <c r="AK10" s="363"/>
      <c r="AL10" s="363"/>
      <c r="AM10" s="363"/>
      <c r="AN10" s="363"/>
      <c r="AO10" s="363"/>
      <c r="AP10" s="363"/>
      <c r="AQ10" s="363"/>
      <c r="AR10" s="2164"/>
      <c r="AS10" s="2164"/>
      <c r="AT10" s="2164"/>
      <c r="AU10" s="2164"/>
      <c r="AV10" s="2164"/>
      <c r="AW10" s="2164"/>
    </row>
    <row r="11" spans="1:49" ht="15.75">
      <c r="A11" s="1407"/>
      <c r="C11" s="3355" t="s">
        <v>1552</v>
      </c>
      <c r="D11" s="3355"/>
      <c r="E11" s="3355"/>
      <c r="F11" s="3355"/>
      <c r="G11" s="3355"/>
      <c r="H11" s="3355"/>
      <c r="I11" s="3355"/>
      <c r="J11" s="2629"/>
      <c r="K11" s="2629"/>
      <c r="L11" s="403"/>
      <c r="M11" s="401"/>
      <c r="N11" s="3355" t="s">
        <v>1553</v>
      </c>
      <c r="O11" s="3355"/>
      <c r="P11" s="3355"/>
      <c r="Q11" s="3355"/>
      <c r="R11" s="3355"/>
      <c r="S11" s="3355"/>
      <c r="T11" s="3355"/>
      <c r="U11" s="2639"/>
      <c r="V11" s="3222"/>
      <c r="W11" s="3248"/>
      <c r="X11" s="3248"/>
      <c r="Y11" s="3248"/>
      <c r="Z11" s="3248"/>
      <c r="AA11" s="3248"/>
      <c r="AB11" s="3248"/>
      <c r="AC11" s="358"/>
      <c r="AD11" s="401"/>
      <c r="AE11" s="401"/>
      <c r="AF11" s="401"/>
      <c r="AG11" s="401"/>
      <c r="AH11" s="401"/>
      <c r="AI11" s="401"/>
      <c r="AJ11" s="401"/>
      <c r="AK11" s="358"/>
      <c r="AL11" s="401"/>
      <c r="AM11" s="402"/>
      <c r="AN11" s="401"/>
      <c r="AO11" s="401"/>
      <c r="AP11" s="401"/>
      <c r="AQ11" s="401"/>
      <c r="AR11" s="2164"/>
      <c r="AS11" s="2164"/>
      <c r="AT11" s="2164"/>
      <c r="AU11" s="2164"/>
      <c r="AV11" s="2164"/>
      <c r="AW11" s="2164"/>
    </row>
    <row r="12" spans="1:49" ht="15.75">
      <c r="A12" s="1407"/>
      <c r="C12" s="804"/>
      <c r="D12" s="403"/>
      <c r="E12" s="804"/>
      <c r="F12" s="403"/>
      <c r="G12" s="404"/>
      <c r="H12" s="403"/>
      <c r="I12" s="403" t="s">
        <v>88</v>
      </c>
      <c r="J12" s="403"/>
      <c r="K12" s="403" t="s">
        <v>88</v>
      </c>
      <c r="L12" s="403"/>
      <c r="M12" s="2666"/>
      <c r="N12" s="804"/>
      <c r="O12" s="403"/>
      <c r="P12" s="804"/>
      <c r="Q12" s="403"/>
      <c r="R12" s="404"/>
      <c r="S12" s="403"/>
      <c r="T12" s="403" t="s">
        <v>88</v>
      </c>
      <c r="U12" s="401"/>
      <c r="V12" s="403" t="s">
        <v>88</v>
      </c>
      <c r="W12" s="403"/>
      <c r="X12" s="807"/>
      <c r="Y12" s="403"/>
      <c r="Z12" s="404"/>
      <c r="AA12" s="403"/>
      <c r="AB12" s="403"/>
      <c r="AC12" s="358"/>
      <c r="AD12" s="401"/>
      <c r="AE12" s="401"/>
      <c r="AF12" s="401"/>
      <c r="AG12" s="401"/>
      <c r="AH12" s="401"/>
      <c r="AI12" s="401"/>
      <c r="AJ12" s="401"/>
      <c r="AK12" s="358"/>
      <c r="AL12" s="401"/>
      <c r="AM12" s="402"/>
      <c r="AN12" s="401"/>
      <c r="AO12" s="401"/>
      <c r="AP12" s="401"/>
      <c r="AQ12" s="401"/>
      <c r="AR12" s="2164"/>
      <c r="AS12" s="2164"/>
      <c r="AT12" s="2164"/>
      <c r="AU12" s="2164"/>
      <c r="AV12" s="2164"/>
      <c r="AW12" s="2164"/>
    </row>
    <row r="13" spans="1:49" ht="15.75">
      <c r="A13" s="1407"/>
      <c r="B13" s="358"/>
      <c r="C13" s="805"/>
      <c r="D13" s="405"/>
      <c r="E13" s="805"/>
      <c r="F13" s="405"/>
      <c r="G13" s="405"/>
      <c r="H13" s="405"/>
      <c r="I13" s="406" t="s">
        <v>1206</v>
      </c>
      <c r="J13" s="406"/>
      <c r="K13" s="406" t="s">
        <v>1206</v>
      </c>
      <c r="L13" s="2240"/>
      <c r="M13" s="2667"/>
      <c r="N13" s="805"/>
      <c r="O13" s="405"/>
      <c r="P13" s="805"/>
      <c r="Q13" s="405"/>
      <c r="R13" s="405"/>
      <c r="S13" s="405"/>
      <c r="T13" s="406" t="s">
        <v>1206</v>
      </c>
      <c r="U13" s="408"/>
      <c r="V13" s="406" t="s">
        <v>1206</v>
      </c>
      <c r="W13" s="2239"/>
      <c r="X13" s="2238"/>
      <c r="Y13" s="2239"/>
      <c r="Z13" s="2239"/>
      <c r="AA13" s="2239"/>
      <c r="AB13" s="2240"/>
      <c r="AC13" s="358"/>
      <c r="AD13" s="358"/>
      <c r="AE13" s="358"/>
      <c r="AF13" s="358"/>
      <c r="AG13" s="358"/>
      <c r="AH13" s="358"/>
      <c r="AI13" s="407"/>
      <c r="AJ13" s="408"/>
      <c r="AK13" s="358"/>
      <c r="AL13" s="358"/>
      <c r="AM13" s="358"/>
      <c r="AN13" s="358"/>
      <c r="AO13" s="358"/>
      <c r="AP13" s="358"/>
      <c r="AQ13" s="407"/>
      <c r="AR13" s="2164"/>
      <c r="AS13" s="2164"/>
      <c r="AT13" s="2164"/>
      <c r="AU13" s="2164"/>
      <c r="AV13" s="2164"/>
      <c r="AW13" s="2164"/>
    </row>
    <row r="14" spans="1:49" ht="15.75">
      <c r="A14" s="1407"/>
      <c r="B14" s="409"/>
      <c r="C14" s="361" t="s">
        <v>1490</v>
      </c>
      <c r="D14" s="2164"/>
      <c r="E14" s="360" t="s">
        <v>1491</v>
      </c>
      <c r="F14" s="359"/>
      <c r="G14" s="359"/>
      <c r="H14" s="359"/>
      <c r="I14" s="360" t="s">
        <v>89</v>
      </c>
      <c r="J14" s="360"/>
      <c r="K14" s="360" t="s">
        <v>89</v>
      </c>
      <c r="L14" s="408"/>
      <c r="M14" s="2667"/>
      <c r="N14" s="361" t="s">
        <v>1490</v>
      </c>
      <c r="O14" s="2164"/>
      <c r="P14" s="360" t="s">
        <v>1491</v>
      </c>
      <c r="Q14" s="359"/>
      <c r="R14" s="359"/>
      <c r="S14" s="359"/>
      <c r="T14" s="360" t="s">
        <v>89</v>
      </c>
      <c r="U14" s="408"/>
      <c r="V14" s="360" t="s">
        <v>89</v>
      </c>
      <c r="W14" s="1412"/>
      <c r="X14" s="408"/>
      <c r="Y14" s="358"/>
      <c r="Z14" s="358"/>
      <c r="AA14" s="358"/>
      <c r="AB14" s="408"/>
      <c r="AC14" s="358"/>
      <c r="AD14" s="407"/>
      <c r="AE14" s="408"/>
      <c r="AF14" s="358"/>
      <c r="AG14" s="358"/>
      <c r="AH14" s="358"/>
      <c r="AI14" s="407"/>
      <c r="AJ14" s="408"/>
      <c r="AK14" s="358"/>
      <c r="AL14" s="407"/>
      <c r="AM14" s="408"/>
      <c r="AN14" s="358"/>
      <c r="AO14" s="358"/>
      <c r="AP14" s="358"/>
      <c r="AQ14" s="407"/>
      <c r="AR14" s="2164"/>
      <c r="AS14" s="2164"/>
      <c r="AT14" s="2164"/>
      <c r="AU14" s="2164"/>
      <c r="AV14" s="2164"/>
      <c r="AW14" s="2164"/>
    </row>
    <row r="15" spans="1:49" ht="15.75">
      <c r="A15" s="1407"/>
      <c r="B15" s="409"/>
      <c r="C15" s="360" t="s">
        <v>1536</v>
      </c>
      <c r="D15" s="359"/>
      <c r="E15" s="360" t="s">
        <v>1536</v>
      </c>
      <c r="F15" s="359"/>
      <c r="G15" s="359"/>
      <c r="H15" s="359"/>
      <c r="I15" s="360" t="s">
        <v>1490</v>
      </c>
      <c r="J15" s="360"/>
      <c r="K15" s="360" t="s">
        <v>1491</v>
      </c>
      <c r="L15" s="408"/>
      <c r="M15" s="2667"/>
      <c r="N15" s="360" t="s">
        <v>1536</v>
      </c>
      <c r="O15" s="359"/>
      <c r="P15" s="360" t="s">
        <v>1536</v>
      </c>
      <c r="Q15" s="359"/>
      <c r="R15" s="359"/>
      <c r="S15" s="359"/>
      <c r="T15" s="360" t="s">
        <v>1490</v>
      </c>
      <c r="U15" s="408"/>
      <c r="V15" s="360" t="s">
        <v>1491</v>
      </c>
      <c r="W15" s="358"/>
      <c r="X15" s="408"/>
      <c r="Y15" s="358"/>
      <c r="Z15" s="358"/>
      <c r="AA15" s="358"/>
      <c r="AB15" s="408"/>
      <c r="AC15" s="358"/>
      <c r="AD15" s="407"/>
      <c r="AE15" s="408"/>
      <c r="AF15" s="358"/>
      <c r="AG15" s="358"/>
      <c r="AH15" s="358"/>
      <c r="AI15" s="407"/>
      <c r="AJ15" s="408"/>
      <c r="AK15" s="358"/>
      <c r="AL15" s="407"/>
      <c r="AM15" s="408"/>
      <c r="AN15" s="358"/>
      <c r="AO15" s="358"/>
      <c r="AP15" s="358"/>
      <c r="AQ15" s="407"/>
      <c r="AR15" s="2164"/>
      <c r="AS15" s="2164"/>
      <c r="AT15" s="2164"/>
      <c r="AU15" s="2164"/>
      <c r="AV15" s="2164"/>
      <c r="AW15" s="2164"/>
    </row>
    <row r="16" spans="1:49" ht="15.75">
      <c r="A16" s="1407"/>
      <c r="B16" s="408"/>
      <c r="C16" s="360" t="s">
        <v>1537</v>
      </c>
      <c r="D16" s="359"/>
      <c r="E16" s="360" t="s">
        <v>1540</v>
      </c>
      <c r="F16" s="359"/>
      <c r="G16" s="361" t="s">
        <v>88</v>
      </c>
      <c r="H16" s="359"/>
      <c r="I16" s="360" t="s">
        <v>90</v>
      </c>
      <c r="J16" s="408"/>
      <c r="K16" s="360" t="s">
        <v>90</v>
      </c>
      <c r="L16" s="408"/>
      <c r="M16" s="2674"/>
      <c r="N16" s="2675" t="s">
        <v>1537</v>
      </c>
      <c r="O16" s="359"/>
      <c r="P16" s="360" t="s">
        <v>1540</v>
      </c>
      <c r="Q16" s="359"/>
      <c r="R16" s="361" t="s">
        <v>88</v>
      </c>
      <c r="S16" s="359"/>
      <c r="T16" s="360" t="s">
        <v>90</v>
      </c>
      <c r="U16" s="408"/>
      <c r="V16" s="360" t="s">
        <v>90</v>
      </c>
      <c r="W16" s="358"/>
      <c r="X16" s="408"/>
      <c r="Y16" s="358"/>
      <c r="Z16" s="407"/>
      <c r="AA16" s="358"/>
      <c r="AB16" s="408"/>
      <c r="AC16" s="358"/>
      <c r="AD16" s="408"/>
      <c r="AE16" s="408"/>
      <c r="AF16" s="358"/>
      <c r="AG16" s="407"/>
      <c r="AH16" s="358"/>
      <c r="AI16" s="407"/>
      <c r="AJ16" s="408"/>
      <c r="AK16" s="358"/>
      <c r="AL16" s="408"/>
      <c r="AM16" s="408"/>
      <c r="AN16" s="358"/>
      <c r="AO16" s="407"/>
      <c r="AP16" s="358"/>
      <c r="AQ16" s="407"/>
      <c r="AR16" s="2164"/>
      <c r="AS16" s="2164"/>
      <c r="AT16" s="2164"/>
      <c r="AU16" s="2164"/>
      <c r="AV16" s="2164"/>
      <c r="AW16" s="2164"/>
    </row>
    <row r="17" spans="1:49">
      <c r="A17" s="362"/>
      <c r="B17" s="363"/>
      <c r="C17" s="364"/>
      <c r="D17" s="349"/>
      <c r="E17" s="364"/>
      <c r="F17" s="349"/>
      <c r="G17" s="364"/>
      <c r="H17" s="349"/>
      <c r="I17" s="364"/>
      <c r="J17" s="363"/>
      <c r="K17" s="364"/>
      <c r="L17" s="363"/>
      <c r="M17" s="2668"/>
      <c r="N17" s="363"/>
      <c r="O17" s="349"/>
      <c r="P17" s="364"/>
      <c r="Q17" s="349"/>
      <c r="R17" s="364"/>
      <c r="S17" s="349"/>
      <c r="T17" s="364"/>
      <c r="U17" s="363"/>
      <c r="V17" s="364"/>
      <c r="W17" s="363"/>
      <c r="X17" s="363"/>
      <c r="Y17" s="363"/>
      <c r="Z17" s="363"/>
      <c r="AA17" s="363"/>
      <c r="AB17" s="363"/>
      <c r="AC17" s="363"/>
      <c r="AD17" s="363"/>
      <c r="AE17" s="363"/>
      <c r="AF17" s="363"/>
      <c r="AG17" s="363"/>
      <c r="AH17" s="363"/>
      <c r="AI17" s="363"/>
      <c r="AJ17" s="363"/>
      <c r="AK17" s="363"/>
      <c r="AL17" s="363"/>
      <c r="AM17" s="363"/>
      <c r="AN17" s="363"/>
      <c r="AO17" s="363"/>
      <c r="AP17" s="363"/>
      <c r="AQ17" s="363"/>
      <c r="AR17" s="2164"/>
      <c r="AS17" s="2164"/>
      <c r="AT17" s="2164"/>
      <c r="AU17" s="2164"/>
      <c r="AV17" s="2164"/>
      <c r="AW17" s="2164"/>
    </row>
    <row r="18" spans="1:49" ht="15.75">
      <c r="A18" s="225" t="s">
        <v>15</v>
      </c>
      <c r="B18" s="2156"/>
      <c r="C18" s="1294"/>
      <c r="D18" s="1294"/>
      <c r="E18" s="1294"/>
      <c r="F18" s="1294"/>
      <c r="G18" s="1294"/>
      <c r="H18" s="1294"/>
      <c r="I18" s="2156"/>
      <c r="J18" s="1294"/>
      <c r="K18" s="2156"/>
      <c r="L18" s="2156"/>
      <c r="M18" s="2669"/>
      <c r="N18" s="1294"/>
      <c r="O18" s="1294"/>
      <c r="P18" s="1294"/>
      <c r="Q18" s="1294"/>
      <c r="R18" s="1294"/>
      <c r="S18" s="1294"/>
      <c r="T18" s="1294"/>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64"/>
      <c r="AS18" s="2164"/>
      <c r="AT18" s="2164"/>
      <c r="AU18" s="2164"/>
      <c r="AV18" s="2164"/>
      <c r="AW18" s="2164"/>
    </row>
    <row r="19" spans="1:49">
      <c r="A19" s="1863" t="s">
        <v>91</v>
      </c>
      <c r="B19" s="2157"/>
      <c r="C19" s="1294"/>
      <c r="D19" s="2157"/>
      <c r="E19" s="1294"/>
      <c r="F19" s="2157"/>
      <c r="G19" s="1294"/>
      <c r="H19" s="2157"/>
      <c r="I19" s="2156"/>
      <c r="J19" s="1294"/>
      <c r="K19" s="2156"/>
      <c r="L19" s="2156"/>
      <c r="M19" s="2669"/>
      <c r="N19" s="1294"/>
      <c r="O19" s="2157"/>
      <c r="P19" s="1294"/>
      <c r="Q19" s="2157"/>
      <c r="R19" s="1294"/>
      <c r="S19" s="2157"/>
      <c r="T19" s="1294"/>
      <c r="U19" s="2156"/>
      <c r="V19" s="2156"/>
      <c r="W19" s="2156"/>
      <c r="X19" s="2156"/>
      <c r="Y19" s="2156"/>
      <c r="Z19" s="2156"/>
      <c r="AA19" s="2178"/>
      <c r="AB19" s="2156"/>
      <c r="AC19" s="2156"/>
      <c r="AD19" s="2156"/>
      <c r="AE19" s="2156"/>
      <c r="AF19" s="2156"/>
      <c r="AG19" s="2156"/>
      <c r="AH19" s="2156"/>
      <c r="AI19" s="2156"/>
      <c r="AJ19" s="2156"/>
      <c r="AK19" s="2156"/>
      <c r="AL19" s="2156"/>
      <c r="AM19" s="2156"/>
      <c r="AN19" s="2156"/>
      <c r="AO19" s="2156"/>
      <c r="AP19" s="2156"/>
      <c r="AQ19" s="2156"/>
      <c r="AR19" s="2164"/>
      <c r="AS19" s="2164"/>
      <c r="AT19" s="2164"/>
      <c r="AU19" s="2164"/>
      <c r="AV19" s="2164"/>
      <c r="AW19" s="2164"/>
    </row>
    <row r="20" spans="1:49">
      <c r="A20" s="1863" t="s">
        <v>92</v>
      </c>
      <c r="B20" s="2157" t="s">
        <v>16</v>
      </c>
      <c r="C20" s="1295">
        <v>635</v>
      </c>
      <c r="D20" s="1297"/>
      <c r="E20" s="1295">
        <v>632</v>
      </c>
      <c r="F20" s="1297"/>
      <c r="G20" s="1295">
        <f>'Exhibit G state'!AE16</f>
        <v>632</v>
      </c>
      <c r="H20" s="1297"/>
      <c r="I20" s="2244">
        <f t="shared" ref="I20:I26" si="0">ROUND(SUM(G20)-SUM(C20),1)</f>
        <v>-3</v>
      </c>
      <c r="J20" s="1295"/>
      <c r="K20" s="2244">
        <f t="shared" ref="K20:K26" si="1">ROUND(SUM(G20)-SUM(E20),1)</f>
        <v>0</v>
      </c>
      <c r="L20" s="2244"/>
      <c r="M20" s="2669"/>
      <c r="N20" s="1295">
        <v>0</v>
      </c>
      <c r="O20" s="1297"/>
      <c r="P20" s="1295">
        <v>0</v>
      </c>
      <c r="Q20" s="1297"/>
      <c r="R20" s="1295">
        <v>0</v>
      </c>
      <c r="S20" s="1297"/>
      <c r="T20" s="1295">
        <f t="shared" ref="T20:T26" si="2">ROUND(SUM(R20)-SUM(N20),1)</f>
        <v>0</v>
      </c>
      <c r="U20" s="2156"/>
      <c r="V20" s="2244">
        <f t="shared" ref="V20:V26" si="3">ROUND(SUM(R20)-SUM(P20),1)</f>
        <v>0</v>
      </c>
      <c r="W20" s="2242"/>
      <c r="X20" s="2245"/>
      <c r="Y20" s="2242"/>
      <c r="Z20" s="2243"/>
      <c r="AA20" s="2242"/>
      <c r="AB20" s="2244"/>
      <c r="AC20" s="2156"/>
      <c r="AD20" s="2156"/>
      <c r="AE20" s="2156"/>
      <c r="AF20" s="2156"/>
      <c r="AG20" s="2156"/>
      <c r="AH20" s="2156"/>
      <c r="AI20" s="2156"/>
      <c r="AJ20" s="2156"/>
      <c r="AK20" s="2156"/>
      <c r="AL20" s="2156"/>
      <c r="AM20" s="2156"/>
      <c r="AN20" s="2156"/>
      <c r="AO20" s="2156"/>
      <c r="AP20" s="2156"/>
      <c r="AQ20" s="2156"/>
      <c r="AR20" s="2164"/>
      <c r="AS20" s="2164"/>
      <c r="AT20" s="2164"/>
      <c r="AU20" s="2164"/>
      <c r="AV20" s="2164"/>
      <c r="AW20" s="2164"/>
    </row>
    <row r="21" spans="1:49">
      <c r="A21" s="1863" t="s">
        <v>93</v>
      </c>
      <c r="B21" s="2156" t="s">
        <v>16</v>
      </c>
      <c r="C21" s="2175">
        <v>1299</v>
      </c>
      <c r="D21" s="1214"/>
      <c r="E21" s="2175">
        <v>1281</v>
      </c>
      <c r="F21" s="1214"/>
      <c r="G21" s="1214">
        <f>'Exhibit G state'!AE27</f>
        <v>1272.9000000000001</v>
      </c>
      <c r="H21" s="1214"/>
      <c r="I21" s="2176">
        <f t="shared" si="0"/>
        <v>-26.1</v>
      </c>
      <c r="J21" s="1214"/>
      <c r="K21" s="2176">
        <f t="shared" si="1"/>
        <v>-8.1</v>
      </c>
      <c r="L21" s="2176"/>
      <c r="M21" s="2669"/>
      <c r="N21" s="2175">
        <v>0</v>
      </c>
      <c r="O21" s="1214"/>
      <c r="P21" s="2175">
        <v>0</v>
      </c>
      <c r="Q21" s="1214"/>
      <c r="R21" s="1214">
        <v>0</v>
      </c>
      <c r="S21" s="1214"/>
      <c r="T21" s="1214">
        <f t="shared" si="2"/>
        <v>0</v>
      </c>
      <c r="U21" s="2156"/>
      <c r="V21" s="2176">
        <f t="shared" si="3"/>
        <v>0</v>
      </c>
      <c r="W21" s="2176"/>
      <c r="X21" s="2245"/>
      <c r="Y21" s="2176"/>
      <c r="Z21" s="2176"/>
      <c r="AA21" s="2176"/>
      <c r="AB21" s="2176"/>
      <c r="AC21" s="2176"/>
      <c r="AD21" s="2176"/>
      <c r="AE21" s="2156"/>
      <c r="AF21" s="2156"/>
      <c r="AG21" s="2156"/>
      <c r="AH21" s="2156"/>
      <c r="AI21" s="2156"/>
      <c r="AJ21" s="2156"/>
      <c r="AK21" s="2156"/>
      <c r="AL21" s="2156"/>
      <c r="AM21" s="2156"/>
      <c r="AN21" s="2156"/>
      <c r="AO21" s="2156"/>
      <c r="AP21" s="2156"/>
      <c r="AQ21" s="2156"/>
      <c r="AR21" s="2164"/>
      <c r="AS21" s="2164"/>
      <c r="AT21" s="2164"/>
      <c r="AU21" s="2164"/>
      <c r="AV21" s="2164"/>
      <c r="AW21" s="2164"/>
    </row>
    <row r="22" spans="1:49">
      <c r="A22" s="1863" t="s">
        <v>94</v>
      </c>
      <c r="B22" s="2157" t="s">
        <v>16</v>
      </c>
      <c r="C22" s="2175">
        <v>751</v>
      </c>
      <c r="D22" s="1372"/>
      <c r="E22" s="2175">
        <v>794</v>
      </c>
      <c r="F22" s="1372"/>
      <c r="G22" s="1214">
        <f>'Exhibit G state'!AE34</f>
        <v>795.4</v>
      </c>
      <c r="H22" s="1372"/>
      <c r="I22" s="2176">
        <f t="shared" si="0"/>
        <v>44.4</v>
      </c>
      <c r="J22" s="1214"/>
      <c r="K22" s="2176">
        <f t="shared" si="1"/>
        <v>1.4</v>
      </c>
      <c r="L22" s="2176"/>
      <c r="M22" s="2669"/>
      <c r="N22" s="2175">
        <v>0</v>
      </c>
      <c r="O22" s="1372"/>
      <c r="P22" s="2175">
        <v>0</v>
      </c>
      <c r="Q22" s="1372"/>
      <c r="R22" s="2165">
        <v>0</v>
      </c>
      <c r="S22" s="1372"/>
      <c r="T22" s="1214">
        <f t="shared" si="2"/>
        <v>0</v>
      </c>
      <c r="U22" s="2156"/>
      <c r="V22" s="2176">
        <f t="shared" si="3"/>
        <v>0</v>
      </c>
      <c r="W22" s="2177"/>
      <c r="X22" s="2245"/>
      <c r="Y22" s="2177"/>
      <c r="Z22" s="2176"/>
      <c r="AA22" s="2177"/>
      <c r="AB22" s="2176"/>
      <c r="AC22" s="2177"/>
      <c r="AD22" s="2176"/>
      <c r="AE22" s="2156"/>
      <c r="AF22" s="2178"/>
      <c r="AG22" s="2156"/>
      <c r="AH22" s="2178"/>
      <c r="AI22" s="2156"/>
      <c r="AJ22" s="2156"/>
      <c r="AK22" s="2178"/>
      <c r="AL22" s="2156"/>
      <c r="AM22" s="2156"/>
      <c r="AN22" s="2178"/>
      <c r="AO22" s="410"/>
      <c r="AP22" s="2178"/>
      <c r="AQ22" s="2156"/>
      <c r="AR22" s="2164"/>
      <c r="AS22" s="2164"/>
      <c r="AT22" s="2164"/>
      <c r="AU22" s="2164"/>
      <c r="AV22" s="2164"/>
      <c r="AW22" s="2164"/>
    </row>
    <row r="23" spans="1:49">
      <c r="A23" s="1863" t="s">
        <v>95</v>
      </c>
      <c r="B23" s="2156" t="s">
        <v>16</v>
      </c>
      <c r="C23" s="2175">
        <v>679</v>
      </c>
      <c r="D23" s="1214"/>
      <c r="E23" s="2175">
        <v>671</v>
      </c>
      <c r="F23" s="1214"/>
      <c r="G23" s="1214">
        <f>'Exhibit G state'!AE37</f>
        <v>671.6</v>
      </c>
      <c r="H23" s="1214"/>
      <c r="I23" s="2176">
        <f t="shared" si="0"/>
        <v>-7.4</v>
      </c>
      <c r="J23" s="1214"/>
      <c r="K23" s="2176">
        <f t="shared" si="1"/>
        <v>0.6</v>
      </c>
      <c r="L23" s="2176"/>
      <c r="M23" s="2669"/>
      <c r="N23" s="2175">
        <v>0</v>
      </c>
      <c r="O23" s="1214"/>
      <c r="P23" s="2175">
        <v>0</v>
      </c>
      <c r="Q23" s="1214"/>
      <c r="R23" s="1214">
        <v>0</v>
      </c>
      <c r="S23" s="1214"/>
      <c r="T23" s="1214">
        <f t="shared" si="2"/>
        <v>0</v>
      </c>
      <c r="U23" s="2156"/>
      <c r="V23" s="2176">
        <f t="shared" si="3"/>
        <v>0</v>
      </c>
      <c r="W23" s="2176"/>
      <c r="X23" s="2245"/>
      <c r="Y23" s="2176"/>
      <c r="Z23" s="2176"/>
      <c r="AA23" s="2176"/>
      <c r="AB23" s="2176"/>
      <c r="AC23" s="2176"/>
      <c r="AD23" s="2176"/>
      <c r="AE23" s="2156"/>
      <c r="AF23" s="2156"/>
      <c r="AG23" s="2156"/>
      <c r="AH23" s="2156"/>
      <c r="AI23" s="2156"/>
      <c r="AJ23" s="2156"/>
      <c r="AK23" s="2156"/>
      <c r="AL23" s="2156"/>
      <c r="AM23" s="2156"/>
      <c r="AN23" s="2156"/>
      <c r="AO23" s="2156"/>
      <c r="AP23" s="2156"/>
      <c r="AQ23" s="2156"/>
      <c r="AR23" s="2164"/>
      <c r="AS23" s="2164"/>
      <c r="AT23" s="2164"/>
      <c r="AU23" s="2164"/>
      <c r="AV23" s="2164"/>
      <c r="AW23" s="2164"/>
    </row>
    <row r="24" spans="1:49" ht="15" customHeight="1">
      <c r="A24" s="1863" t="s">
        <v>21</v>
      </c>
      <c r="B24" s="2156" t="s">
        <v>16</v>
      </c>
      <c r="C24" s="2175">
        <v>9325</v>
      </c>
      <c r="D24" s="2175"/>
      <c r="E24" s="2175">
        <v>9361</v>
      </c>
      <c r="F24" s="2175"/>
      <c r="G24" s="1214">
        <f>+'Exhibit G state'!AE80</f>
        <v>9380.7000000000007</v>
      </c>
      <c r="H24" s="1214"/>
      <c r="I24" s="2176">
        <f t="shared" si="0"/>
        <v>55.7</v>
      </c>
      <c r="J24" s="1214"/>
      <c r="K24" s="2176">
        <f t="shared" si="1"/>
        <v>19.7</v>
      </c>
      <c r="L24" s="2176"/>
      <c r="M24" s="2669"/>
      <c r="N24" s="2175">
        <v>21</v>
      </c>
      <c r="O24" s="2175"/>
      <c r="P24" s="2175">
        <v>119</v>
      </c>
      <c r="Q24" s="2175"/>
      <c r="R24" s="1403">
        <f>+'Exhibit G Federal'!AE52</f>
        <v>119</v>
      </c>
      <c r="S24" s="1214"/>
      <c r="T24" s="1214">
        <f t="shared" si="2"/>
        <v>98</v>
      </c>
      <c r="U24" s="2156"/>
      <c r="V24" s="2176">
        <f t="shared" si="3"/>
        <v>0</v>
      </c>
      <c r="W24" s="2176"/>
      <c r="X24" s="2245"/>
      <c r="Y24" s="2176"/>
      <c r="Z24" s="2176"/>
      <c r="AA24" s="2176"/>
      <c r="AB24" s="2176"/>
      <c r="AC24" s="2176"/>
      <c r="AD24" s="2176"/>
      <c r="AE24" s="2156"/>
      <c r="AF24" s="2156"/>
      <c r="AG24" s="2156"/>
      <c r="AH24" s="2156"/>
      <c r="AI24" s="2156"/>
      <c r="AJ24" s="2156"/>
      <c r="AK24" s="2156"/>
      <c r="AL24" s="2156"/>
      <c r="AM24" s="2156"/>
      <c r="AN24" s="2156"/>
      <c r="AO24" s="2156"/>
      <c r="AP24" s="2156"/>
      <c r="AQ24" s="2156"/>
      <c r="AR24" s="2164"/>
      <c r="AS24" s="2164"/>
      <c r="AT24" s="2164"/>
      <c r="AU24" s="2164"/>
      <c r="AV24" s="2164"/>
      <c r="AW24" s="2164"/>
    </row>
    <row r="25" spans="1:49" ht="15" customHeight="1">
      <c r="A25" s="1863" t="s">
        <v>22</v>
      </c>
      <c r="B25" s="2156" t="s">
        <v>16</v>
      </c>
      <c r="C25" s="1296">
        <v>0</v>
      </c>
      <c r="D25" s="1214"/>
      <c r="E25" s="1296">
        <v>0</v>
      </c>
      <c r="F25" s="1214"/>
      <c r="G25" s="1403">
        <f>+'Exhibit G state'!AE82</f>
        <v>0</v>
      </c>
      <c r="H25" s="1214"/>
      <c r="I25" s="2176">
        <f t="shared" si="0"/>
        <v>0</v>
      </c>
      <c r="J25" s="1214"/>
      <c r="K25" s="2176">
        <f t="shared" si="1"/>
        <v>0</v>
      </c>
      <c r="L25" s="2176"/>
      <c r="M25" s="2669"/>
      <c r="N25" s="1296">
        <v>24963</v>
      </c>
      <c r="O25" s="1214"/>
      <c r="P25" s="1404">
        <v>25361</v>
      </c>
      <c r="Q25" s="1214"/>
      <c r="R25" s="1403">
        <f>+'Exhibit G Federal'!AE54</f>
        <v>25378.9</v>
      </c>
      <c r="S25" s="1214"/>
      <c r="T25" s="1214">
        <f t="shared" si="2"/>
        <v>415.9</v>
      </c>
      <c r="U25" s="2156"/>
      <c r="V25" s="2176">
        <f t="shared" si="3"/>
        <v>17.899999999999999</v>
      </c>
      <c r="W25" s="2176"/>
      <c r="X25" s="2245"/>
      <c r="Y25" s="2176"/>
      <c r="Z25" s="2176"/>
      <c r="AA25" s="2176"/>
      <c r="AB25" s="2176"/>
      <c r="AC25" s="2176"/>
      <c r="AD25" s="2180"/>
      <c r="AE25" s="2181"/>
      <c r="AF25" s="2156"/>
      <c r="AG25" s="2181"/>
      <c r="AH25" s="2156"/>
      <c r="AI25" s="2181"/>
      <c r="AJ25" s="2182"/>
      <c r="AK25" s="2156"/>
      <c r="AL25" s="2156"/>
      <c r="AM25" s="2156"/>
      <c r="AN25" s="2156"/>
      <c r="AO25" s="2156"/>
      <c r="AP25" s="2156"/>
      <c r="AQ25" s="2156"/>
      <c r="AR25" s="2164"/>
      <c r="AS25" s="2164"/>
      <c r="AT25" s="2164"/>
      <c r="AU25" s="2164"/>
      <c r="AV25" s="2164"/>
      <c r="AW25" s="2164"/>
    </row>
    <row r="26" spans="1:49">
      <c r="A26" s="1863" t="s">
        <v>49</v>
      </c>
      <c r="B26" s="2182" t="s">
        <v>16</v>
      </c>
      <c r="C26" s="2162">
        <v>4906</v>
      </c>
      <c r="D26" s="1214"/>
      <c r="E26" s="2162">
        <v>4672</v>
      </c>
      <c r="F26" s="1214"/>
      <c r="G26" s="2183">
        <f>+'Exhibit G state'!AE111</f>
        <v>4415.6000000000004</v>
      </c>
      <c r="H26" s="1214"/>
      <c r="I26" s="2176">
        <f t="shared" si="0"/>
        <v>-490.4</v>
      </c>
      <c r="J26" s="2176"/>
      <c r="K26" s="2176">
        <f t="shared" si="1"/>
        <v>-256.39999999999998</v>
      </c>
      <c r="L26" s="2176"/>
      <c r="M26" s="2670"/>
      <c r="N26" s="2176">
        <v>0</v>
      </c>
      <c r="O26" s="1214"/>
      <c r="P26" s="2162">
        <v>0</v>
      </c>
      <c r="Q26" s="1214"/>
      <c r="R26" s="2183">
        <f>+'Exhibit G Federal'!AE83</f>
        <v>0</v>
      </c>
      <c r="S26" s="1214"/>
      <c r="T26" s="1214">
        <f t="shared" si="2"/>
        <v>0</v>
      </c>
      <c r="U26" s="2182"/>
      <c r="V26" s="2176">
        <f t="shared" si="3"/>
        <v>0</v>
      </c>
      <c r="W26" s="2176"/>
      <c r="X26" s="2245"/>
      <c r="Y26" s="2176"/>
      <c r="Z26" s="2177"/>
      <c r="AA26" s="2176"/>
      <c r="AB26" s="2176"/>
      <c r="AC26" s="2176"/>
      <c r="AD26" s="2180"/>
      <c r="AE26" s="2181"/>
      <c r="AF26" s="2156"/>
      <c r="AG26" s="2181"/>
      <c r="AH26" s="2156"/>
      <c r="AI26" s="2181"/>
      <c r="AJ26" s="2182"/>
      <c r="AK26" s="2156"/>
      <c r="AL26" s="2156"/>
      <c r="AM26" s="2156"/>
      <c r="AN26" s="2156"/>
      <c r="AO26" s="2156"/>
      <c r="AP26" s="2156"/>
      <c r="AQ26" s="2156"/>
      <c r="AR26" s="2164"/>
      <c r="AS26" s="2164"/>
      <c r="AT26" s="2164"/>
      <c r="AU26" s="2164"/>
      <c r="AV26" s="2164"/>
      <c r="AW26" s="2164"/>
    </row>
    <row r="27" spans="1:49" ht="18" customHeight="1">
      <c r="A27" s="380" t="s">
        <v>114</v>
      </c>
      <c r="B27" s="358" t="s">
        <v>16</v>
      </c>
      <c r="C27" s="425">
        <f>ROUND(SUM(C20:C26),1)</f>
        <v>17595</v>
      </c>
      <c r="D27" s="2154"/>
      <c r="E27" s="425">
        <f>ROUND(SUM(E20:E26),1)</f>
        <v>17411</v>
      </c>
      <c r="F27" s="2154"/>
      <c r="G27" s="425">
        <f>ROUND(SUM(G20:G26),1)</f>
        <v>17168.2</v>
      </c>
      <c r="H27" s="2154"/>
      <c r="I27" s="550">
        <f>ROUND(SUM(I20:I26),1)</f>
        <v>-426.8</v>
      </c>
      <c r="J27" s="277"/>
      <c r="K27" s="550">
        <f>ROUND(SUM(K20:K26),1)</f>
        <v>-242.8</v>
      </c>
      <c r="L27" s="277"/>
      <c r="M27" s="2673"/>
      <c r="N27" s="260">
        <f>ROUND(SUM(N20:N26),1)</f>
        <v>24984</v>
      </c>
      <c r="O27" s="2154"/>
      <c r="P27" s="425">
        <f>ROUND(SUM(P20:P26),1)</f>
        <v>25480</v>
      </c>
      <c r="Q27" s="2154"/>
      <c r="R27" s="425">
        <f>ROUND(SUM(R20:R26),1)</f>
        <v>25497.9</v>
      </c>
      <c r="S27" s="2154"/>
      <c r="T27" s="550">
        <f>ROUND(SUM(T20:T26),1)</f>
        <v>513.9</v>
      </c>
      <c r="U27" s="358"/>
      <c r="V27" s="550">
        <f>ROUND(SUM(V20:V26),1)</f>
        <v>17.899999999999999</v>
      </c>
      <c r="W27" s="277"/>
      <c r="X27" s="277"/>
      <c r="Y27" s="277"/>
      <c r="Z27" s="277"/>
      <c r="AA27" s="277"/>
      <c r="AB27" s="277"/>
      <c r="AC27" s="277"/>
      <c r="AD27" s="277"/>
      <c r="AE27" s="358"/>
      <c r="AF27" s="358"/>
      <c r="AG27" s="358"/>
      <c r="AH27" s="358"/>
      <c r="AI27" s="358"/>
      <c r="AJ27" s="358"/>
      <c r="AK27" s="358"/>
      <c r="AL27" s="358"/>
      <c r="AM27" s="358"/>
      <c r="AN27" s="358"/>
      <c r="AO27" s="358"/>
      <c r="AP27" s="358"/>
      <c r="AQ27" s="358"/>
      <c r="AR27" s="2164"/>
      <c r="AS27" s="2164"/>
      <c r="AT27" s="2164"/>
      <c r="AU27" s="2164"/>
      <c r="AV27" s="2164"/>
      <c r="AW27" s="2164"/>
    </row>
    <row r="28" spans="1:49">
      <c r="A28" s="1407"/>
      <c r="B28" s="2156"/>
      <c r="C28" s="1405"/>
      <c r="D28" s="1214"/>
      <c r="E28" s="1405"/>
      <c r="F28" s="1214"/>
      <c r="G28" s="1405"/>
      <c r="H28" s="1214"/>
      <c r="I28" s="2176"/>
      <c r="J28" s="2176"/>
      <c r="K28" s="2176"/>
      <c r="L28" s="2176"/>
      <c r="M28" s="2669"/>
      <c r="N28" s="2176"/>
      <c r="O28" s="1214"/>
      <c r="P28" s="1405"/>
      <c r="Q28" s="1214"/>
      <c r="R28" s="1405"/>
      <c r="S28" s="1214"/>
      <c r="T28" s="2176"/>
      <c r="U28" s="2156"/>
      <c r="V28" s="2176"/>
      <c r="W28" s="2176"/>
      <c r="X28" s="2176"/>
      <c r="Y28" s="2176"/>
      <c r="Z28" s="2176"/>
      <c r="AA28" s="2176"/>
      <c r="AB28" s="2176"/>
      <c r="AC28" s="2176"/>
      <c r="AD28" s="2176"/>
      <c r="AE28" s="2156"/>
      <c r="AF28" s="2156"/>
      <c r="AG28" s="2156"/>
      <c r="AH28" s="2156"/>
      <c r="AI28" s="2156"/>
      <c r="AJ28" s="2156"/>
      <c r="AK28" s="2156"/>
      <c r="AL28" s="2156"/>
      <c r="AM28" s="2156"/>
      <c r="AN28" s="2156"/>
      <c r="AO28" s="2156"/>
      <c r="AP28" s="2156"/>
      <c r="AQ28" s="2156"/>
      <c r="AR28" s="2164"/>
      <c r="AS28" s="2164"/>
      <c r="AT28" s="2164"/>
      <c r="AU28" s="2164"/>
      <c r="AV28" s="2164"/>
      <c r="AW28" s="2164"/>
    </row>
    <row r="29" spans="1:49" ht="15.75">
      <c r="A29" s="225" t="s">
        <v>24</v>
      </c>
      <c r="B29" s="2156"/>
      <c r="C29" s="1214"/>
      <c r="D29" s="1214"/>
      <c r="E29" s="1214"/>
      <c r="F29" s="1214"/>
      <c r="G29" s="1214"/>
      <c r="H29" s="1214"/>
      <c r="I29" s="2176"/>
      <c r="J29" s="2176"/>
      <c r="K29" s="2176"/>
      <c r="L29" s="2176"/>
      <c r="M29" s="2669"/>
      <c r="N29" s="1214"/>
      <c r="O29" s="1214"/>
      <c r="P29" s="1214"/>
      <c r="Q29" s="1214"/>
      <c r="R29" s="1214"/>
      <c r="S29" s="1214"/>
      <c r="T29" s="1214"/>
      <c r="U29" s="2156"/>
      <c r="V29" s="2176"/>
      <c r="W29" s="2176"/>
      <c r="X29" s="2176"/>
      <c r="Y29" s="2176"/>
      <c r="Z29" s="2176"/>
      <c r="AA29" s="2176"/>
      <c r="AB29" s="2176"/>
      <c r="AC29" s="2176"/>
      <c r="AD29" s="2176"/>
      <c r="AE29" s="2156"/>
      <c r="AF29" s="2156"/>
      <c r="AG29" s="2156"/>
      <c r="AH29" s="2156"/>
      <c r="AI29" s="2156"/>
      <c r="AJ29" s="2156"/>
      <c r="AK29" s="2156"/>
      <c r="AL29" s="2156"/>
      <c r="AM29" s="2156"/>
      <c r="AN29" s="2156"/>
      <c r="AO29" s="2156"/>
      <c r="AP29" s="2156"/>
      <c r="AQ29" s="2156"/>
      <c r="AR29" s="2164"/>
      <c r="AS29" s="2164"/>
      <c r="AT29" s="2164"/>
      <c r="AU29" s="2164"/>
      <c r="AV29" s="2164"/>
      <c r="AW29" s="2164"/>
    </row>
    <row r="30" spans="1:49">
      <c r="A30" s="1863" t="s">
        <v>97</v>
      </c>
      <c r="B30" s="2178" t="s">
        <v>16</v>
      </c>
      <c r="C30" s="1372">
        <v>10360</v>
      </c>
      <c r="D30" s="1214"/>
      <c r="E30" s="1372">
        <v>10429</v>
      </c>
      <c r="F30" s="1214"/>
      <c r="G30" s="1372">
        <f>+'Exhibit G state'!AE98</f>
        <v>10439.1</v>
      </c>
      <c r="H30" s="1214"/>
      <c r="I30" s="2176">
        <f>ROUND(SUM(G30)-SUM(C30),1)</f>
        <v>79.099999999999994</v>
      </c>
      <c r="J30" s="2176"/>
      <c r="K30" s="2176">
        <f>ROUND(SUM(G30)-SUM(E30),1)</f>
        <v>10.1</v>
      </c>
      <c r="L30" s="2176"/>
      <c r="M30" s="2669"/>
      <c r="N30" s="1372">
        <v>22169</v>
      </c>
      <c r="O30" s="1214"/>
      <c r="P30" s="1372">
        <v>22965</v>
      </c>
      <c r="Q30" s="1214"/>
      <c r="R30" s="1372">
        <f>+'Exhibit G Federal'!AE70</f>
        <v>22924.799999999999</v>
      </c>
      <c r="S30" s="1214"/>
      <c r="T30" s="1214">
        <f>ROUND(SUM(R30)-SUM(N30),1)</f>
        <v>755.8</v>
      </c>
      <c r="U30" s="2156"/>
      <c r="V30" s="2176">
        <f>ROUND(SUM(R30)-SUM(P30),1)</f>
        <v>-40.200000000000003</v>
      </c>
      <c r="W30" s="2176"/>
      <c r="X30" s="2245"/>
      <c r="Y30" s="2176"/>
      <c r="Z30" s="2176"/>
      <c r="AA30" s="2176"/>
      <c r="AB30" s="2176"/>
      <c r="AC30" s="2176"/>
      <c r="AD30" s="2180"/>
      <c r="AE30" s="2181"/>
      <c r="AF30" s="2156"/>
      <c r="AG30" s="2181"/>
      <c r="AH30" s="2156"/>
      <c r="AI30" s="2181"/>
      <c r="AJ30" s="2182"/>
      <c r="AK30" s="2156"/>
      <c r="AL30" s="2156"/>
      <c r="AM30" s="2156"/>
      <c r="AN30" s="2156"/>
      <c r="AO30" s="2156"/>
      <c r="AP30" s="2156"/>
      <c r="AQ30" s="2156"/>
      <c r="AR30" s="2164"/>
      <c r="AS30" s="2164"/>
      <c r="AT30" s="2164"/>
      <c r="AU30" s="2164"/>
      <c r="AV30" s="2164"/>
      <c r="AW30" s="2164"/>
    </row>
    <row r="31" spans="1:49">
      <c r="A31" s="1863" t="s">
        <v>98</v>
      </c>
      <c r="B31" s="2178" t="s">
        <v>16</v>
      </c>
      <c r="C31" s="1372">
        <v>6126</v>
      </c>
      <c r="D31" s="1214"/>
      <c r="E31" s="1372">
        <v>6001</v>
      </c>
      <c r="F31" s="1214"/>
      <c r="G31" s="1372">
        <f>+'Exhibit G state'!AE101+'Exhibit G state'!AE100</f>
        <v>6013.7</v>
      </c>
      <c r="H31" s="1214"/>
      <c r="I31" s="2176">
        <f>ROUND(SUM(G31)-SUM(C31),1)</f>
        <v>-112.3</v>
      </c>
      <c r="J31" s="2176"/>
      <c r="K31" s="2176">
        <f>ROUND(SUM(G31)-SUM(E31),1)</f>
        <v>12.7</v>
      </c>
      <c r="L31" s="2176"/>
      <c r="M31" s="2669"/>
      <c r="N31" s="1372">
        <v>1033</v>
      </c>
      <c r="O31" s="1214"/>
      <c r="P31" s="1372">
        <v>1087</v>
      </c>
      <c r="Q31" s="1214"/>
      <c r="R31" s="1372">
        <f>+'Exhibit G Federal'!AE72+'Exhibit G Federal'!AE73</f>
        <v>1081.5999999999999</v>
      </c>
      <c r="S31" s="1214"/>
      <c r="T31" s="1214">
        <f>ROUND(SUM(R31)-SUM(N31),1)</f>
        <v>48.6</v>
      </c>
      <c r="U31" s="2156"/>
      <c r="V31" s="2176">
        <f>ROUND(SUM(R31)-SUM(P31),1)</f>
        <v>-5.4</v>
      </c>
      <c r="W31" s="2176"/>
      <c r="X31" s="2245"/>
      <c r="Y31" s="2176"/>
      <c r="Z31" s="2176"/>
      <c r="AA31" s="2176"/>
      <c r="AB31" s="2176"/>
      <c r="AC31" s="2176"/>
      <c r="AD31" s="2177"/>
      <c r="AE31" s="2178"/>
      <c r="AF31" s="2156"/>
      <c r="AG31" s="2178"/>
      <c r="AH31" s="2156"/>
      <c r="AI31" s="2181"/>
      <c r="AJ31" s="2156"/>
      <c r="AK31" s="2156"/>
      <c r="AL31" s="2181"/>
      <c r="AM31" s="2181"/>
      <c r="AN31" s="2156"/>
      <c r="AO31" s="2181"/>
      <c r="AP31" s="2156"/>
      <c r="AQ31" s="2181"/>
      <c r="AR31" s="2164"/>
      <c r="AS31" s="2164"/>
      <c r="AT31" s="2164"/>
      <c r="AU31" s="2164"/>
      <c r="AV31" s="2164"/>
      <c r="AW31" s="2164"/>
    </row>
    <row r="32" spans="1:49">
      <c r="A32" s="1863" t="s">
        <v>73</v>
      </c>
      <c r="B32" s="2178" t="s">
        <v>16</v>
      </c>
      <c r="C32" s="1372">
        <v>1006</v>
      </c>
      <c r="D32" s="1214"/>
      <c r="E32" s="1372">
        <v>1002</v>
      </c>
      <c r="F32" s="1214"/>
      <c r="G32" s="1372">
        <f>+'Exhibit G state'!AE102</f>
        <v>1020.5</v>
      </c>
      <c r="H32" s="1214"/>
      <c r="I32" s="2176">
        <f>ROUND(SUM(G32)-SUM(C32),1)</f>
        <v>14.5</v>
      </c>
      <c r="J32" s="2176"/>
      <c r="K32" s="2176">
        <f>ROUND(SUM(G32)-SUM(E32),1)</f>
        <v>18.5</v>
      </c>
      <c r="L32" s="2176"/>
      <c r="M32" s="2669"/>
      <c r="N32" s="1372">
        <v>157</v>
      </c>
      <c r="O32" s="1214"/>
      <c r="P32" s="1372">
        <v>143</v>
      </c>
      <c r="Q32" s="1214"/>
      <c r="R32" s="1372">
        <f>+'Exhibit G Federal'!AE74</f>
        <v>155.19999999999999</v>
      </c>
      <c r="S32" s="1214"/>
      <c r="T32" s="1214">
        <f>ROUND(SUM(R32)-SUM(N32),1)</f>
        <v>-1.8</v>
      </c>
      <c r="U32" s="2156"/>
      <c r="V32" s="2176">
        <f>ROUND(SUM(R32)-SUM(P32),1)</f>
        <v>12.2</v>
      </c>
      <c r="W32" s="2176"/>
      <c r="X32" s="2245"/>
      <c r="Y32" s="2176"/>
      <c r="Z32" s="2176"/>
      <c r="AA32" s="2176"/>
      <c r="AB32" s="2176"/>
      <c r="AC32" s="2176"/>
      <c r="AD32" s="2180"/>
      <c r="AE32" s="2181"/>
      <c r="AF32" s="2156"/>
      <c r="AG32" s="2181"/>
      <c r="AH32" s="2156"/>
      <c r="AI32" s="2181"/>
      <c r="AJ32" s="2182"/>
      <c r="AK32" s="2156"/>
      <c r="AL32" s="2181"/>
      <c r="AM32" s="2181"/>
      <c r="AN32" s="2156"/>
      <c r="AO32" s="2181"/>
      <c r="AP32" s="2156"/>
      <c r="AQ32" s="2181"/>
      <c r="AR32" s="2164"/>
      <c r="AS32" s="2164"/>
      <c r="AT32" s="2164"/>
      <c r="AU32" s="2164"/>
      <c r="AV32" s="2164"/>
      <c r="AW32" s="2164"/>
    </row>
    <row r="33" spans="1:49">
      <c r="A33" s="1863" t="s">
        <v>43</v>
      </c>
      <c r="B33" s="2182" t="s">
        <v>16</v>
      </c>
      <c r="C33" s="1296">
        <v>0</v>
      </c>
      <c r="D33" s="1214"/>
      <c r="E33" s="1296">
        <v>-1</v>
      </c>
      <c r="F33" s="1214"/>
      <c r="G33" s="1296">
        <f>+'Exhibit G state'!AE103</f>
        <v>1</v>
      </c>
      <c r="H33" s="1214"/>
      <c r="I33" s="2176">
        <f>ROUND(SUM(G33)-SUM(C33),1)</f>
        <v>1</v>
      </c>
      <c r="J33" s="2176"/>
      <c r="K33" s="2176">
        <f>ROUND(SUM(G33)-SUM(E33),1)</f>
        <v>2</v>
      </c>
      <c r="L33" s="2176"/>
      <c r="M33" s="2670"/>
      <c r="N33" s="1296">
        <v>0</v>
      </c>
      <c r="O33" s="1214"/>
      <c r="P33" s="1296">
        <v>0</v>
      </c>
      <c r="Q33" s="1214"/>
      <c r="R33" s="1296">
        <v>0</v>
      </c>
      <c r="S33" s="1214"/>
      <c r="T33" s="1214">
        <f>ROUND(SUM(R33)-SUM(N33),1)</f>
        <v>0</v>
      </c>
      <c r="U33" s="2182"/>
      <c r="V33" s="2176">
        <f>ROUND(SUM(R33)-SUM(P33),1)</f>
        <v>0</v>
      </c>
      <c r="W33" s="2176"/>
      <c r="X33" s="2245"/>
      <c r="Y33" s="2176"/>
      <c r="Z33" s="2176"/>
      <c r="AA33" s="2176"/>
      <c r="AB33" s="2176"/>
      <c r="AC33" s="2176"/>
      <c r="AD33" s="2180"/>
      <c r="AE33" s="2181"/>
      <c r="AF33" s="2156"/>
      <c r="AG33" s="2181"/>
      <c r="AH33" s="2156"/>
      <c r="AI33" s="2181"/>
      <c r="AJ33" s="2182"/>
      <c r="AK33" s="2156"/>
      <c r="AL33" s="2156"/>
      <c r="AM33" s="2156"/>
      <c r="AN33" s="2156"/>
      <c r="AO33" s="2156"/>
      <c r="AP33" s="2156"/>
      <c r="AQ33" s="2156"/>
      <c r="AR33" s="2164"/>
      <c r="AS33" s="2164"/>
      <c r="AT33" s="2164"/>
      <c r="AU33" s="2164"/>
      <c r="AV33" s="2164"/>
      <c r="AW33" s="2164"/>
    </row>
    <row r="34" spans="1:49">
      <c r="A34" s="1863" t="s">
        <v>102</v>
      </c>
      <c r="B34" s="2182" t="s">
        <v>16</v>
      </c>
      <c r="C34" s="1403">
        <v>316</v>
      </c>
      <c r="D34" s="1214"/>
      <c r="E34" s="1403">
        <v>323</v>
      </c>
      <c r="F34" s="1214"/>
      <c r="G34" s="1403">
        <f>-'Exhibit G state'!AE112</f>
        <v>332.7</v>
      </c>
      <c r="H34" s="1214"/>
      <c r="I34" s="2176">
        <f>ROUND(SUM(G34)-SUM(C34),1)</f>
        <v>16.7</v>
      </c>
      <c r="J34" s="2176"/>
      <c r="K34" s="2176">
        <f>ROUND(SUM(G34)-SUM(E34),1)</f>
        <v>9.6999999999999993</v>
      </c>
      <c r="L34" s="2176"/>
      <c r="M34" s="2670"/>
      <c r="N34" s="1403">
        <v>1506</v>
      </c>
      <c r="O34" s="1214"/>
      <c r="P34" s="1403">
        <v>1352</v>
      </c>
      <c r="Q34" s="1214"/>
      <c r="R34" s="1403">
        <f>-'Exhibit G Federal'!AE84</f>
        <v>1098.5</v>
      </c>
      <c r="S34" s="1214"/>
      <c r="T34" s="1214">
        <f>ROUND(SUM(R34)-SUM(N34),1)</f>
        <v>-407.5</v>
      </c>
      <c r="U34" s="2182"/>
      <c r="V34" s="2176">
        <f>ROUND(SUM(R34)-SUM(P34),1)</f>
        <v>-253.5</v>
      </c>
      <c r="W34" s="2176"/>
      <c r="X34" s="2245"/>
      <c r="Y34" s="2176"/>
      <c r="Z34" s="2177"/>
      <c r="AA34" s="2176"/>
      <c r="AB34" s="2176"/>
      <c r="AC34" s="2176"/>
      <c r="AD34" s="2180"/>
      <c r="AE34" s="2181"/>
      <c r="AF34" s="2156"/>
      <c r="AG34" s="2181"/>
      <c r="AH34" s="2156"/>
      <c r="AI34" s="2181"/>
      <c r="AJ34" s="2182"/>
      <c r="AK34" s="2156"/>
      <c r="AL34" s="2156"/>
      <c r="AM34" s="2156"/>
      <c r="AN34" s="2156"/>
      <c r="AO34" s="2156"/>
      <c r="AP34" s="2156"/>
      <c r="AQ34" s="2156"/>
      <c r="AR34" s="2164"/>
      <c r="AS34" s="2164"/>
      <c r="AT34" s="2164"/>
      <c r="AU34" s="2164"/>
      <c r="AV34" s="2164"/>
      <c r="AW34" s="2164"/>
    </row>
    <row r="35" spans="1:49" ht="18" customHeight="1">
      <c r="A35" s="380" t="s">
        <v>123</v>
      </c>
      <c r="B35" s="358" t="s">
        <v>16</v>
      </c>
      <c r="C35" s="425">
        <f>ROUND(SUM(C30:C34),1)</f>
        <v>17808</v>
      </c>
      <c r="D35" s="2154"/>
      <c r="E35" s="425">
        <f>ROUND(SUM(E30:E34),1)</f>
        <v>17754</v>
      </c>
      <c r="F35" s="2154"/>
      <c r="G35" s="425">
        <f>ROUND(SUM(G30:G34),1)</f>
        <v>17807</v>
      </c>
      <c r="H35" s="2154"/>
      <c r="I35" s="550">
        <f>ROUND(SUM(I30:I34),1)</f>
        <v>-1</v>
      </c>
      <c r="J35" s="277"/>
      <c r="K35" s="550">
        <f>ROUND(SUM(K30:K34),1)</f>
        <v>53</v>
      </c>
      <c r="L35" s="277"/>
      <c r="M35" s="2673"/>
      <c r="N35" s="260">
        <f>ROUND(SUM(N30:N34),1)</f>
        <v>24865</v>
      </c>
      <c r="O35" s="2154"/>
      <c r="P35" s="425">
        <f>ROUND(SUM(P30:P34),1)</f>
        <v>25547</v>
      </c>
      <c r="Q35" s="2154"/>
      <c r="R35" s="425">
        <f>ROUND(SUM(R30:R34),1)</f>
        <v>25260.1</v>
      </c>
      <c r="S35" s="2154"/>
      <c r="T35" s="550">
        <f>ROUND(SUM(T30:T34),1)</f>
        <v>395.1</v>
      </c>
      <c r="U35" s="358"/>
      <c r="V35" s="550">
        <f>ROUND(SUM(V30:V34),1)</f>
        <v>-286.89999999999998</v>
      </c>
      <c r="W35" s="277"/>
      <c r="X35" s="277"/>
      <c r="Y35" s="277"/>
      <c r="Z35" s="277"/>
      <c r="AA35" s="277"/>
      <c r="AB35" s="277"/>
      <c r="AC35" s="277"/>
      <c r="AD35" s="277"/>
      <c r="AE35" s="358"/>
      <c r="AF35" s="358"/>
      <c r="AG35" s="358"/>
      <c r="AH35" s="358"/>
      <c r="AI35" s="358"/>
      <c r="AJ35" s="358"/>
      <c r="AK35" s="358"/>
      <c r="AL35" s="358"/>
      <c r="AM35" s="358"/>
      <c r="AN35" s="358"/>
      <c r="AO35" s="358"/>
      <c r="AP35" s="358"/>
      <c r="AQ35" s="358"/>
      <c r="AR35" s="2164"/>
      <c r="AS35" s="2164"/>
      <c r="AT35" s="2164"/>
      <c r="AU35" s="2164"/>
      <c r="AV35" s="2164"/>
      <c r="AW35" s="2164"/>
    </row>
    <row r="36" spans="1:49">
      <c r="A36" s="1407"/>
      <c r="B36" s="2156"/>
      <c r="C36" s="1405"/>
      <c r="D36" s="1214"/>
      <c r="E36" s="1405"/>
      <c r="F36" s="1214"/>
      <c r="G36" s="1405"/>
      <c r="H36" s="1214"/>
      <c r="I36" s="2176"/>
      <c r="J36" s="2176"/>
      <c r="K36" s="2176"/>
      <c r="L36" s="2176"/>
      <c r="M36" s="2669"/>
      <c r="N36" s="2176"/>
      <c r="O36" s="1214"/>
      <c r="P36" s="1405"/>
      <c r="Q36" s="1214"/>
      <c r="R36" s="1405"/>
      <c r="S36" s="1214"/>
      <c r="T36" s="2176"/>
      <c r="U36" s="2156"/>
      <c r="V36" s="2176"/>
      <c r="W36" s="2176"/>
      <c r="X36" s="2176"/>
      <c r="Y36" s="2176"/>
      <c r="Z36" s="2176"/>
      <c r="AA36" s="2176"/>
      <c r="AB36" s="2176"/>
      <c r="AC36" s="2176"/>
      <c r="AD36" s="2176"/>
      <c r="AE36" s="2156"/>
      <c r="AF36" s="2156"/>
      <c r="AG36" s="2156"/>
      <c r="AH36" s="2156"/>
      <c r="AI36" s="2156"/>
      <c r="AJ36" s="2156"/>
      <c r="AK36" s="2156"/>
      <c r="AL36" s="2156"/>
      <c r="AM36" s="2156"/>
      <c r="AN36" s="2156"/>
      <c r="AO36" s="2156"/>
      <c r="AP36" s="2156"/>
      <c r="AQ36" s="2156"/>
      <c r="AR36" s="2164"/>
      <c r="AS36" s="2164"/>
      <c r="AT36" s="2164"/>
      <c r="AU36" s="2164"/>
      <c r="AV36" s="2164"/>
      <c r="AW36" s="2164"/>
    </row>
    <row r="37" spans="1:49" ht="15.75">
      <c r="A37" s="225" t="s">
        <v>124</v>
      </c>
      <c r="B37" s="2156"/>
      <c r="C37" s="1214"/>
      <c r="D37" s="1214"/>
      <c r="E37" s="1214"/>
      <c r="F37" s="1214"/>
      <c r="G37" s="1214"/>
      <c r="H37" s="1214"/>
      <c r="I37" s="2176"/>
      <c r="J37" s="2176"/>
      <c r="K37" s="2176"/>
      <c r="L37" s="2176"/>
      <c r="M37" s="2669"/>
      <c r="N37" s="1214"/>
      <c r="O37" s="1214"/>
      <c r="P37" s="1214"/>
      <c r="Q37" s="1214"/>
      <c r="R37" s="1214"/>
      <c r="S37" s="1214"/>
      <c r="T37" s="1214"/>
      <c r="U37" s="2156"/>
      <c r="V37" s="2176"/>
      <c r="W37" s="2176"/>
      <c r="X37" s="2176"/>
      <c r="Y37" s="2176"/>
      <c r="Z37" s="2176"/>
      <c r="AA37" s="2176"/>
      <c r="AB37" s="2176"/>
      <c r="AC37" s="2176"/>
      <c r="AD37" s="2176"/>
      <c r="AE37" s="2156"/>
      <c r="AF37" s="2156"/>
      <c r="AG37" s="2156"/>
      <c r="AH37" s="2156"/>
      <c r="AI37" s="2156"/>
      <c r="AJ37" s="2156"/>
      <c r="AK37" s="2156"/>
      <c r="AL37" s="2156"/>
      <c r="AM37" s="2156"/>
      <c r="AN37" s="2156"/>
      <c r="AO37" s="2156"/>
      <c r="AP37" s="2156"/>
      <c r="AQ37" s="2156"/>
      <c r="AR37" s="2164"/>
      <c r="AS37" s="2164"/>
      <c r="AT37" s="2164"/>
      <c r="AU37" s="2164"/>
      <c r="AV37" s="2164"/>
      <c r="AW37" s="2164"/>
    </row>
    <row r="38" spans="1:49" ht="15.75">
      <c r="A38" s="225" t="s">
        <v>125</v>
      </c>
      <c r="B38" s="2156"/>
      <c r="C38" s="1214"/>
      <c r="D38" s="1214"/>
      <c r="E38" s="1214"/>
      <c r="F38" s="1214"/>
      <c r="G38" s="1214"/>
      <c r="H38" s="1214"/>
      <c r="I38" s="2176"/>
      <c r="J38" s="2176"/>
      <c r="K38" s="2176"/>
      <c r="L38" s="2176"/>
      <c r="M38" s="2669"/>
      <c r="N38" s="1214"/>
      <c r="O38" s="1214"/>
      <c r="P38" s="1214"/>
      <c r="Q38" s="1214"/>
      <c r="R38" s="1214"/>
      <c r="S38" s="1214"/>
      <c r="T38" s="1214"/>
      <c r="U38" s="2156"/>
      <c r="V38" s="2176"/>
      <c r="W38" s="2176"/>
      <c r="X38" s="2176"/>
      <c r="Y38" s="2176"/>
      <c r="Z38" s="2176"/>
      <c r="AA38" s="2176"/>
      <c r="AB38" s="2176"/>
      <c r="AC38" s="2176"/>
      <c r="AD38" s="2176"/>
      <c r="AE38" s="2156"/>
      <c r="AF38" s="2156"/>
      <c r="AG38" s="2156"/>
      <c r="AH38" s="2156"/>
      <c r="AI38" s="2156"/>
      <c r="AJ38" s="2156"/>
      <c r="AK38" s="2156"/>
      <c r="AL38" s="2156"/>
      <c r="AM38" s="2156"/>
      <c r="AN38" s="2156"/>
      <c r="AO38" s="2156"/>
      <c r="AP38" s="2156"/>
      <c r="AQ38" s="2156"/>
      <c r="AR38" s="2164"/>
      <c r="AS38" s="2164"/>
      <c r="AT38" s="2164"/>
      <c r="AU38" s="2164"/>
      <c r="AV38" s="2164"/>
      <c r="AW38" s="2164"/>
    </row>
    <row r="39" spans="1:49" ht="15.75">
      <c r="A39" s="380" t="s">
        <v>106</v>
      </c>
      <c r="B39" s="2153" t="s">
        <v>16</v>
      </c>
      <c r="C39" s="277">
        <f>ROUND(SUM(C27)-SUM(C35),1)</f>
        <v>-213</v>
      </c>
      <c r="D39" s="288"/>
      <c r="E39" s="277">
        <f>ROUND(SUM(E27)-SUM(E35),1)</f>
        <v>-343</v>
      </c>
      <c r="F39" s="288"/>
      <c r="G39" s="277">
        <f>ROUND(SUM(G27)-SUM(G35),1)</f>
        <v>-638.79999999999995</v>
      </c>
      <c r="H39" s="288"/>
      <c r="I39" s="277">
        <f>ROUND(SUM(I27)-SUM(I35),1)</f>
        <v>-425.8</v>
      </c>
      <c r="J39" s="277"/>
      <c r="K39" s="277">
        <f>ROUND(SUM(K27)-SUM(K35),1)</f>
        <v>-295.8</v>
      </c>
      <c r="L39" s="277"/>
      <c r="M39" s="2671"/>
      <c r="N39" s="277">
        <f>ROUND(SUM(N27)-SUM(N35),1)</f>
        <v>119</v>
      </c>
      <c r="O39" s="288"/>
      <c r="P39" s="277">
        <f>ROUND(SUM(P27)-SUM(P35),1)</f>
        <v>-67</v>
      </c>
      <c r="Q39" s="288"/>
      <c r="R39" s="277">
        <f>ROUND(SUM(R27)-SUM(R35),1)</f>
        <v>237.8</v>
      </c>
      <c r="S39" s="288"/>
      <c r="T39" s="277">
        <f>ROUND(SUM(T27)-SUM(T35),1)</f>
        <v>118.8</v>
      </c>
      <c r="U39" s="358"/>
      <c r="V39" s="277">
        <f>ROUND(SUM(V27)-SUM(V35),1)</f>
        <v>304.8</v>
      </c>
      <c r="W39" s="758"/>
      <c r="X39" s="277"/>
      <c r="Y39" s="758"/>
      <c r="Z39" s="277"/>
      <c r="AA39" s="758"/>
      <c r="AB39" s="277"/>
      <c r="AC39" s="758"/>
      <c r="AD39" s="277"/>
      <c r="AE39" s="358"/>
      <c r="AF39" s="381"/>
      <c r="AG39" s="358"/>
      <c r="AH39" s="381"/>
      <c r="AI39" s="358"/>
      <c r="AJ39" s="358"/>
      <c r="AK39" s="381"/>
      <c r="AL39" s="358"/>
      <c r="AM39" s="358"/>
      <c r="AN39" s="381"/>
      <c r="AO39" s="358"/>
      <c r="AP39" s="381"/>
      <c r="AQ39" s="358"/>
      <c r="AR39" s="2164"/>
      <c r="AS39" s="2164"/>
      <c r="AT39" s="2164"/>
      <c r="AU39" s="2164"/>
      <c r="AV39" s="2164"/>
      <c r="AW39" s="2164"/>
    </row>
    <row r="40" spans="1:49" ht="15" customHeight="1">
      <c r="C40" s="1312"/>
      <c r="D40" s="2165"/>
      <c r="E40" s="1312"/>
      <c r="F40" s="2165"/>
      <c r="G40" s="1312"/>
      <c r="H40" s="2165"/>
      <c r="I40" s="277"/>
      <c r="J40" s="277"/>
      <c r="K40" s="277"/>
      <c r="L40" s="277"/>
      <c r="M40" s="2671"/>
      <c r="N40" s="1312"/>
      <c r="O40" s="2165"/>
      <c r="P40" s="1312"/>
      <c r="Q40" s="2165"/>
      <c r="R40" s="1312"/>
      <c r="S40" s="2165"/>
      <c r="T40" s="277"/>
      <c r="U40" s="358"/>
      <c r="V40" s="277"/>
      <c r="W40" s="1312"/>
      <c r="X40" s="1312"/>
      <c r="Y40" s="1312"/>
      <c r="Z40" s="1312"/>
      <c r="AA40" s="1312"/>
      <c r="AB40" s="1312"/>
      <c r="AC40" s="1312"/>
      <c r="AD40" s="1312"/>
      <c r="AR40" s="2164"/>
      <c r="AS40" s="2164"/>
      <c r="AT40" s="2164"/>
      <c r="AU40" s="2164"/>
      <c r="AV40" s="2164"/>
      <c r="AW40" s="2164"/>
    </row>
    <row r="41" spans="1:49" ht="15.75">
      <c r="A41" s="380" t="str">
        <f>+'Exh D-Governmental  '!A49</f>
        <v>Fund Balances (Deficits) at April 1</v>
      </c>
      <c r="B41" s="1173" t="s">
        <v>16</v>
      </c>
      <c r="C41" s="277">
        <v>2489</v>
      </c>
      <c r="D41" s="2165"/>
      <c r="E41" s="277">
        <v>2489</v>
      </c>
      <c r="F41" s="2165"/>
      <c r="G41" s="277">
        <v>2488.8000000000002</v>
      </c>
      <c r="H41" s="2165"/>
      <c r="I41" s="285">
        <f>ROUND(SUM(G41-C41),1)</f>
        <v>-0.2</v>
      </c>
      <c r="J41" s="285"/>
      <c r="K41" s="285">
        <f>ROUND(SUM(G41-E41),1)</f>
        <v>-0.2</v>
      </c>
      <c r="L41" s="285"/>
      <c r="M41" s="2671"/>
      <c r="N41" s="277">
        <v>-125</v>
      </c>
      <c r="O41" s="2165"/>
      <c r="P41" s="277">
        <v>-125</v>
      </c>
      <c r="Q41" s="2165"/>
      <c r="R41" s="277">
        <v>-125.9</v>
      </c>
      <c r="S41" s="2165"/>
      <c r="T41" s="285">
        <f>ROUND(SUM(R41-N41),1)</f>
        <v>-0.9</v>
      </c>
      <c r="U41" s="358"/>
      <c r="V41" s="277">
        <f>ROUND(SUM(R41)-SUM(P41),1)</f>
        <v>-0.9</v>
      </c>
      <c r="W41" s="1312"/>
      <c r="X41" s="277"/>
      <c r="Y41" s="1312"/>
      <c r="Z41" s="277"/>
      <c r="AA41" s="1312"/>
      <c r="AB41" s="285"/>
      <c r="AC41" s="1312"/>
      <c r="AD41" s="1312"/>
      <c r="AR41" s="2164"/>
      <c r="AS41" s="2164"/>
      <c r="AT41" s="2164"/>
      <c r="AU41" s="2164"/>
      <c r="AV41" s="2164"/>
      <c r="AW41" s="2164"/>
    </row>
    <row r="42" spans="1:49" ht="18" customHeight="1" thickBot="1">
      <c r="A42" s="2918" t="str">
        <f>+'Exh D-Governmental  '!A50</f>
        <v>Fund Balances (Deficits) at October 31</v>
      </c>
      <c r="B42" s="387" t="s">
        <v>16</v>
      </c>
      <c r="C42" s="303">
        <f>ROUND(SUM(C39:C41),1)</f>
        <v>2276</v>
      </c>
      <c r="D42" s="388"/>
      <c r="E42" s="303">
        <f>ROUND(SUM(E39:E41),1)</f>
        <v>2146</v>
      </c>
      <c r="F42" s="388"/>
      <c r="G42" s="303">
        <f>ROUND(SUM(G39:G41),1)</f>
        <v>1850</v>
      </c>
      <c r="H42" s="388"/>
      <c r="I42" s="303">
        <f>ROUND(SUM(I39:I41),1)</f>
        <v>-426</v>
      </c>
      <c r="J42" s="429"/>
      <c r="K42" s="303">
        <f>ROUND(SUM(K39:K41),1)</f>
        <v>-296</v>
      </c>
      <c r="L42" s="429"/>
      <c r="M42" s="2672"/>
      <c r="N42" s="303">
        <f>ROUND(SUM(N39:N41),1)</f>
        <v>-6</v>
      </c>
      <c r="O42" s="388"/>
      <c r="P42" s="303">
        <f>ROUND(SUM(P39:P41),1)</f>
        <v>-192</v>
      </c>
      <c r="Q42" s="388"/>
      <c r="R42" s="303">
        <f>ROUND(SUM(R39:R41),1)</f>
        <v>111.9</v>
      </c>
      <c r="S42" s="388"/>
      <c r="T42" s="303">
        <f>ROUND(SUM(T39:T41),1)</f>
        <v>117.9</v>
      </c>
      <c r="U42" s="358"/>
      <c r="V42" s="303">
        <f>ROUND(SUM(V39:V41),1)</f>
        <v>303.89999999999998</v>
      </c>
      <c r="W42" s="2248"/>
      <c r="X42" s="429"/>
      <c r="Y42" s="2248"/>
      <c r="Z42" s="429"/>
      <c r="AA42" s="2248"/>
      <c r="AB42" s="429"/>
      <c r="AR42" s="2164"/>
      <c r="AS42" s="2164"/>
      <c r="AT42" s="2164"/>
      <c r="AU42" s="2164"/>
      <c r="AV42" s="2164"/>
      <c r="AW42" s="2164"/>
    </row>
    <row r="43" spans="1:49" ht="15" customHeight="1" thickTop="1">
      <c r="A43" s="362"/>
      <c r="G43" s="1173"/>
      <c r="J43" s="1173"/>
      <c r="V43" s="1173"/>
      <c r="W43" s="2249"/>
      <c r="X43" s="1406"/>
      <c r="Y43" s="2249"/>
      <c r="Z43" s="2249"/>
      <c r="AA43" s="2249"/>
      <c r="AB43" s="2249"/>
      <c r="AR43" s="2164"/>
      <c r="AS43" s="2164"/>
      <c r="AT43" s="2164"/>
      <c r="AU43" s="2164"/>
      <c r="AV43" s="2164"/>
      <c r="AW43" s="2164"/>
    </row>
    <row r="44" spans="1:49">
      <c r="A44" s="2169" t="s">
        <v>1374</v>
      </c>
      <c r="AR44" s="2164"/>
      <c r="AS44" s="2164"/>
      <c r="AT44" s="2164"/>
      <c r="AU44" s="2164"/>
      <c r="AV44" s="2164"/>
      <c r="AW44" s="2164"/>
    </row>
    <row r="45" spans="1:49">
      <c r="A45" s="2658" t="s">
        <v>1650</v>
      </c>
      <c r="R45" s="2166"/>
      <c r="AR45" s="2164"/>
      <c r="AS45" s="2164"/>
      <c r="AT45" s="2164"/>
      <c r="AU45" s="2164"/>
      <c r="AV45" s="2164"/>
      <c r="AW45" s="2164"/>
    </row>
    <row r="46" spans="1:49">
      <c r="A46" s="2186"/>
      <c r="B46" s="2164"/>
      <c r="C46" s="2164"/>
      <c r="D46" s="2164"/>
      <c r="E46" s="2164"/>
      <c r="F46" s="2164"/>
      <c r="G46" s="2164"/>
      <c r="H46" s="2164"/>
      <c r="I46" s="2164"/>
      <c r="J46" s="2164"/>
      <c r="K46" s="2164"/>
      <c r="L46" s="1412"/>
      <c r="M46" s="1412"/>
      <c r="N46" s="2164"/>
      <c r="O46" s="2164"/>
      <c r="P46" s="2164"/>
      <c r="Q46" s="2164"/>
      <c r="R46" s="2164"/>
      <c r="S46" s="2164"/>
      <c r="T46" s="2164"/>
      <c r="U46" s="2164"/>
      <c r="V46" s="1412"/>
      <c r="W46" s="1412"/>
      <c r="X46" s="1412"/>
      <c r="Y46" s="1412"/>
      <c r="Z46" s="1412"/>
      <c r="AA46" s="1412"/>
      <c r="AB46" s="1412"/>
      <c r="AC46" s="2164"/>
      <c r="AD46" s="2164"/>
      <c r="AE46" s="2164"/>
      <c r="AF46" s="2164"/>
      <c r="AG46" s="2164"/>
      <c r="AH46" s="2164"/>
      <c r="AI46" s="2164"/>
      <c r="AJ46" s="2164"/>
      <c r="AK46" s="2164"/>
      <c r="AL46" s="2164"/>
      <c r="AM46" s="2164"/>
      <c r="AN46" s="2164"/>
      <c r="AO46" s="2164"/>
      <c r="AP46" s="2164"/>
      <c r="AQ46" s="2164"/>
      <c r="AR46" s="2164"/>
      <c r="AS46" s="2164"/>
      <c r="AT46" s="2164"/>
      <c r="AU46" s="2164"/>
      <c r="AV46" s="2164"/>
      <c r="AW46" s="2164"/>
    </row>
    <row r="47" spans="1:49">
      <c r="A47" s="2186"/>
      <c r="B47" s="2164"/>
      <c r="C47" s="2185"/>
      <c r="D47" s="2164"/>
      <c r="E47" s="2164"/>
      <c r="F47" s="2164"/>
      <c r="G47" s="2164"/>
      <c r="H47" s="2164"/>
      <c r="I47" s="2164"/>
      <c r="J47" s="2164"/>
      <c r="K47" s="2164"/>
      <c r="L47" s="1412"/>
      <c r="M47" s="1412"/>
      <c r="N47" s="2164"/>
      <c r="O47" s="2164"/>
      <c r="P47" s="2164"/>
      <c r="Q47" s="2164"/>
      <c r="R47" s="2164"/>
      <c r="S47" s="2164"/>
      <c r="T47" s="2164"/>
      <c r="U47" s="2164"/>
      <c r="V47" s="1412"/>
      <c r="W47" s="1412"/>
      <c r="X47" s="1412"/>
      <c r="Y47" s="1412"/>
      <c r="Z47" s="1412"/>
      <c r="AA47" s="1412"/>
      <c r="AB47" s="1412"/>
      <c r="AC47" s="2164"/>
      <c r="AD47" s="2164"/>
      <c r="AE47" s="2164"/>
      <c r="AF47" s="2164"/>
      <c r="AG47" s="2164"/>
      <c r="AH47" s="2164"/>
      <c r="AI47" s="2164"/>
      <c r="AJ47" s="2164"/>
      <c r="AK47" s="2164"/>
      <c r="AL47" s="2164"/>
      <c r="AM47" s="2164"/>
      <c r="AN47" s="2164"/>
      <c r="AO47" s="2164"/>
      <c r="AP47" s="2164"/>
      <c r="AQ47" s="2164"/>
      <c r="AR47" s="2164"/>
      <c r="AS47" s="2164"/>
      <c r="AT47" s="2164"/>
      <c r="AU47" s="2164"/>
      <c r="AV47" s="2164"/>
      <c r="AW47" s="2164"/>
    </row>
    <row r="49" spans="1:49">
      <c r="A49" s="411"/>
      <c r="B49" s="2164"/>
      <c r="C49" s="2164"/>
      <c r="D49" s="2164"/>
      <c r="E49" s="2164"/>
      <c r="F49" s="2164"/>
      <c r="G49" s="2164"/>
      <c r="H49" s="2164"/>
      <c r="I49" s="2164"/>
      <c r="J49" s="2164"/>
      <c r="K49" s="2164"/>
      <c r="L49" s="1412"/>
      <c r="M49" s="1412"/>
      <c r="N49" s="2164"/>
      <c r="O49" s="2164"/>
      <c r="P49" s="2164"/>
      <c r="Q49" s="2164"/>
      <c r="R49" s="2164"/>
      <c r="S49" s="2164"/>
      <c r="T49" s="2164"/>
      <c r="U49" s="2164"/>
      <c r="V49" s="1412"/>
      <c r="W49" s="1412"/>
      <c r="X49" s="1412"/>
      <c r="Y49" s="1412"/>
      <c r="Z49" s="1412"/>
      <c r="AA49" s="1412"/>
      <c r="AB49" s="1412"/>
      <c r="AC49" s="2164"/>
      <c r="AD49" s="2164"/>
      <c r="AE49" s="2164"/>
      <c r="AF49" s="2164"/>
      <c r="AG49" s="2164"/>
      <c r="AH49" s="2164"/>
      <c r="AI49" s="2164"/>
      <c r="AJ49" s="2164"/>
      <c r="AK49" s="2164"/>
      <c r="AL49" s="2164"/>
      <c r="AM49" s="2164"/>
      <c r="AN49" s="2164"/>
      <c r="AO49" s="2164"/>
      <c r="AP49" s="2164"/>
      <c r="AQ49" s="2164"/>
      <c r="AR49" s="2164"/>
      <c r="AS49" s="2164"/>
      <c r="AT49" s="2164"/>
      <c r="AU49" s="2164"/>
      <c r="AV49" s="2164"/>
      <c r="AW49" s="2164"/>
    </row>
    <row r="50" spans="1:49">
      <c r="A50" s="411"/>
      <c r="B50" s="2164"/>
      <c r="C50" s="2164"/>
      <c r="D50" s="2164"/>
      <c r="E50" s="2164"/>
      <c r="F50" s="2164"/>
      <c r="G50" s="2164"/>
      <c r="H50" s="2164"/>
      <c r="I50" s="2164"/>
      <c r="J50" s="2164"/>
      <c r="K50" s="2164"/>
      <c r="L50" s="1412"/>
      <c r="M50" s="1412"/>
      <c r="N50" s="2164"/>
      <c r="O50" s="2164"/>
      <c r="P50" s="2164"/>
      <c r="Q50" s="2164"/>
      <c r="R50" s="2164"/>
      <c r="S50" s="2164"/>
      <c r="T50" s="2164"/>
      <c r="U50" s="2164"/>
      <c r="V50" s="1412"/>
      <c r="W50" s="1412"/>
      <c r="X50" s="1412"/>
      <c r="Y50" s="1412"/>
      <c r="Z50" s="1412"/>
      <c r="AA50" s="1412"/>
      <c r="AB50" s="1412"/>
      <c r="AC50" s="2164"/>
      <c r="AD50" s="2164"/>
      <c r="AE50" s="2164"/>
      <c r="AF50" s="2164"/>
      <c r="AG50" s="2164"/>
      <c r="AH50" s="2164"/>
      <c r="AI50" s="2164"/>
      <c r="AJ50" s="2164"/>
      <c r="AK50" s="2164"/>
      <c r="AL50" s="2164"/>
      <c r="AM50" s="2164"/>
      <c r="AN50" s="2164"/>
      <c r="AO50" s="2164"/>
      <c r="AP50" s="2164"/>
      <c r="AQ50" s="2164"/>
      <c r="AR50" s="2164"/>
      <c r="AS50" s="2164"/>
      <c r="AT50" s="2164"/>
      <c r="AU50" s="2164"/>
      <c r="AV50" s="2164"/>
      <c r="AW50" s="2164"/>
    </row>
  </sheetData>
  <customSheetViews>
    <customSheetView guid="{BD09DBC2-63A5-4D9C-9B00-4281066E9389}" scale="64" showPageBreaks="1" showGridLines="0" printArea="1" hiddenColumns="1" topLeftCell="A4">
      <selection activeCell="P42" sqref="P42"/>
      <pageMargins left="0.2" right="0.2" top="0.84" bottom="0.25" header="0.3" footer="0.3"/>
      <printOptions horizontalCentered="1"/>
      <pageSetup scale="50" firstPageNumber="11" orientation="landscape" useFirstPageNumber="1" r:id="rId1"/>
      <headerFooter>
        <oddFooter>&amp;C&amp;P</oddFooter>
      </headerFooter>
    </customSheetView>
    <customSheetView guid="{C82E0A7D-2B5B-48FC-A705-3168E651E04C}" scale="64" showPageBreaks="1" showGridLines="0" printArea="1" hiddenColumns="1" topLeftCell="A7">
      <selection activeCell="G22" sqref="G22"/>
      <pageMargins left="0.2" right="0.2" top="0.75" bottom="0.75" header="0.3" footer="0.3"/>
      <printOptions horizontalCentered="1"/>
      <pageSetup scale="50" orientation="landscape" r:id="rId2"/>
      <headerFooter scaleWithDoc="0">
        <oddFooter>&amp;C&amp;8 11</oddFooter>
      </headerFooter>
    </customSheetView>
    <customSheetView guid="{A8B05C3B-0E7E-44A3-A097-AF4C5C09F04E}" scale="64" showPageBreaks="1" showGridLines="0" printArea="1" hiddenColumns="1">
      <selection activeCell="P60" sqref="P60"/>
      <pageMargins left="0.2" right="0.2" top="0.75" bottom="0.75" header="0.3" footer="0.3"/>
      <printOptions horizontalCentered="1"/>
      <pageSetup scale="50" orientation="landscape" r:id="rId3"/>
      <headerFooter scaleWithDoc="0">
        <oddFooter>&amp;C&amp;8 11</oddFooter>
      </headerFooter>
    </customSheetView>
    <customSheetView guid="{8EE6466D-211E-4E05-9F84-CC0A1C6F79F4}" scale="64" showGridLines="0" hiddenColumns="1" topLeftCell="A7">
      <selection activeCell="G22" sqref="G22"/>
      <pageMargins left="0.2" right="0.2" top="0.75" bottom="0.75" header="0.3" footer="0.3"/>
      <printOptions horizontalCentered="1"/>
      <pageSetup scale="50" orientation="landscape" r:id="rId4"/>
      <headerFooter scaleWithDoc="0">
        <oddFooter>&amp;C&amp;8 11</oddFooter>
      </headerFooter>
    </customSheetView>
    <customSheetView guid="{4735AAE3-27B4-4549-AAB4-50ACA997F5F5}" scale="64" showPageBreaks="1" showGridLines="0" printArea="1" hiddenColumns="1" topLeftCell="A7">
      <selection activeCell="C51" sqref="C51"/>
      <pageMargins left="0.2" right="0.2" top="0.75" bottom="0.75" header="0.3" footer="0.3"/>
      <printOptions horizontalCentered="1"/>
      <pageSetup scale="50" orientation="landscape" r:id="rId5"/>
      <headerFooter scaleWithDoc="0">
        <oddFooter>&amp;C&amp;8 11</oddFooter>
      </headerFooter>
    </customSheetView>
    <customSheetView guid="{80622567-647A-4891-B8EE-6B9E2C4DAC44}" scale="85" showPageBreaks="1" showGridLines="0" printArea="1" hiddenColumns="1" topLeftCell="A10">
      <selection activeCell="A43" sqref="A43"/>
      <pageMargins left="0.2" right="0.2" top="0.75" bottom="0.75" header="0.3" footer="0.3"/>
      <printOptions horizontalCentered="1"/>
      <pageSetup scale="50" orientation="landscape" r:id="rId6"/>
      <headerFooter scaleWithDoc="0">
        <oddFooter>&amp;C&amp;8 11</oddFooter>
      </headerFooter>
    </customSheetView>
    <customSheetView guid="{A97EE6C3-4DA8-41BD-BE43-F596EFCB43CA}" scale="64" showPageBreaks="1" showGridLines="0" printArea="1" hiddenColumns="1">
      <selection activeCell="P60" sqref="P60"/>
      <pageMargins left="0.2" right="0.2" top="0.75" bottom="0.75" header="0.3" footer="0.3"/>
      <printOptions horizontalCentered="1"/>
      <pageSetup scale="50" orientation="landscape" r:id="rId7"/>
      <headerFooter scaleWithDoc="0">
        <oddFooter>&amp;C&amp;8 11</oddFooter>
      </headerFooter>
    </customSheetView>
    <customSheetView guid="{90B76C5A-2FC4-40F0-8436-3E4F075A4887}" scale="70" showPageBreaks="1" showGridLines="0" printArea="1">
      <selection activeCell="A43" sqref="A43"/>
      <pageMargins left="0.2" right="0.2" top="0.75" bottom="0.75" header="0.3" footer="0.3"/>
      <printOptions horizontalCentered="1"/>
      <pageSetup scale="50" orientation="landscape" r:id="rId8"/>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9"/>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sheetPr>
    <pageSetUpPr fitToPage="1"/>
  </sheetPr>
  <dimension ref="A1:AD47"/>
  <sheetViews>
    <sheetView showGridLines="0" zoomScale="70" zoomScaleNormal="70" zoomScaleSheetLayoutView="70" workbookViewId="0"/>
  </sheetViews>
  <sheetFormatPr defaultRowHeight="15"/>
  <cols>
    <col min="1" max="1" width="47.88671875" style="2164" customWidth="1"/>
    <col min="2" max="2" width="2" style="1173" customWidth="1"/>
    <col min="3" max="3" width="15.77734375" style="806" customWidth="1"/>
    <col min="4" max="4" width="4.77734375" style="2168" customWidth="1"/>
    <col min="5" max="5" width="15.77734375" style="806" customWidth="1"/>
    <col min="6" max="6" width="4.77734375" style="2168" customWidth="1"/>
    <col min="7" max="7" width="15.77734375" style="2168" customWidth="1"/>
    <col min="8" max="8" width="4.77734375" style="2168" customWidth="1"/>
    <col min="9" max="9" width="15.77734375" style="2168" customWidth="1"/>
    <col min="10" max="10" width="2" style="1173" customWidth="1"/>
    <col min="11" max="11" width="11.88671875" style="1173" customWidth="1"/>
    <col min="12" max="12" width="11.44140625" style="1173" customWidth="1"/>
    <col min="13" max="13" width="1.88671875" style="1173" customWidth="1"/>
    <col min="14" max="14" width="11.6640625" style="1173" customWidth="1"/>
    <col min="15" max="15" width="2.109375" style="1173" customWidth="1"/>
    <col min="16" max="16" width="11.44140625" style="1173" customWidth="1"/>
    <col min="17" max="17" width="0.5546875" style="1173" customWidth="1"/>
    <col min="18" max="18" width="2.33203125" style="1173" customWidth="1"/>
    <col min="19" max="19" width="10.5546875" style="1173" customWidth="1"/>
    <col min="20" max="20" width="11.109375" style="1173" customWidth="1"/>
    <col min="21" max="21" width="2.21875" style="1173" customWidth="1"/>
    <col min="22" max="22" width="11.109375" style="1173" customWidth="1"/>
    <col min="23" max="23" width="2.109375" style="1173" customWidth="1"/>
    <col min="24" max="24" width="12.44140625" style="1173" customWidth="1"/>
    <col min="25" max="29" width="8.88671875" style="1173"/>
    <col min="30" max="30" width="8.88671875" style="2168"/>
    <col min="31" max="16384" width="8.88671875" style="2164"/>
  </cols>
  <sheetData>
    <row r="1" spans="1:24">
      <c r="A1" s="2170" t="s">
        <v>1322</v>
      </c>
      <c r="B1" s="393"/>
      <c r="C1" s="800"/>
      <c r="D1" s="394"/>
      <c r="E1" s="800"/>
      <c r="F1" s="394"/>
      <c r="G1" s="394"/>
      <c r="H1" s="394"/>
      <c r="I1" s="394"/>
      <c r="J1" s="394"/>
      <c r="K1" s="393"/>
      <c r="L1" s="393"/>
      <c r="M1" s="393"/>
      <c r="N1" s="393"/>
      <c r="O1" s="393"/>
      <c r="P1" s="393"/>
      <c r="Q1" s="393"/>
      <c r="R1" s="393"/>
      <c r="S1" s="393"/>
      <c r="T1" s="393"/>
      <c r="U1" s="393"/>
      <c r="V1" s="393"/>
      <c r="W1" s="393"/>
      <c r="X1" s="393"/>
    </row>
    <row r="2" spans="1:24" ht="17.25" customHeight="1">
      <c r="A2" s="395"/>
      <c r="B2" s="396"/>
      <c r="C2" s="800"/>
      <c r="D2" s="394"/>
      <c r="E2" s="800"/>
      <c r="F2" s="394"/>
      <c r="G2" s="397"/>
      <c r="H2" s="394"/>
      <c r="I2" s="394"/>
      <c r="J2" s="394"/>
      <c r="K2" s="393"/>
      <c r="L2" s="393"/>
      <c r="M2" s="393"/>
      <c r="N2" s="393"/>
      <c r="O2" s="393"/>
      <c r="P2" s="393"/>
      <c r="Q2" s="393"/>
      <c r="R2" s="393"/>
      <c r="S2" s="393"/>
      <c r="T2" s="393"/>
      <c r="U2" s="393"/>
      <c r="V2" s="393"/>
      <c r="W2" s="393"/>
      <c r="X2" s="393"/>
    </row>
    <row r="3" spans="1:24" ht="21" customHeight="1">
      <c r="A3" s="398" t="s">
        <v>0</v>
      </c>
      <c r="B3" s="355"/>
      <c r="C3" s="803"/>
      <c r="D3" s="349"/>
      <c r="E3" s="803"/>
      <c r="F3" s="349"/>
      <c r="G3" s="349"/>
      <c r="H3" s="349"/>
      <c r="I3" s="1872"/>
      <c r="J3" s="349"/>
      <c r="K3" s="1872" t="s">
        <v>87</v>
      </c>
      <c r="L3" s="363"/>
      <c r="M3" s="363"/>
      <c r="N3" s="363"/>
      <c r="O3" s="363"/>
      <c r="P3" s="363"/>
      <c r="Q3" s="363"/>
      <c r="R3" s="363"/>
      <c r="S3" s="363"/>
      <c r="T3" s="363"/>
      <c r="U3" s="363"/>
      <c r="V3" s="363"/>
      <c r="W3" s="363"/>
      <c r="X3" s="399"/>
    </row>
    <row r="4" spans="1:24" ht="21.75" customHeight="1">
      <c r="A4" s="398" t="s">
        <v>86</v>
      </c>
      <c r="B4" s="355"/>
      <c r="C4" s="803"/>
      <c r="D4" s="349"/>
      <c r="E4" s="803"/>
      <c r="F4" s="349"/>
      <c r="G4" s="349"/>
      <c r="H4" s="349"/>
      <c r="I4" s="1873"/>
      <c r="J4" s="349"/>
      <c r="K4" s="1873" t="s">
        <v>108</v>
      </c>
      <c r="L4" s="363"/>
      <c r="M4" s="363"/>
      <c r="N4" s="363"/>
      <c r="O4" s="363"/>
      <c r="P4" s="363"/>
      <c r="Q4" s="363"/>
      <c r="R4" s="363"/>
      <c r="S4" s="363"/>
      <c r="T4" s="363"/>
      <c r="U4" s="363"/>
      <c r="V4" s="363"/>
      <c r="W4" s="363"/>
      <c r="X4" s="363"/>
    </row>
    <row r="5" spans="1:24" ht="21.75" customHeight="1">
      <c r="A5" s="3352" t="s">
        <v>1176</v>
      </c>
      <c r="B5" s="3353"/>
      <c r="C5" s="803"/>
      <c r="D5" s="349"/>
      <c r="E5" s="803"/>
      <c r="F5" s="349"/>
      <c r="G5" s="349"/>
      <c r="H5" s="349"/>
      <c r="I5" s="349"/>
      <c r="J5" s="349"/>
      <c r="K5" s="363"/>
      <c r="L5" s="363"/>
      <c r="M5" s="363"/>
      <c r="N5" s="363"/>
      <c r="O5" s="363"/>
      <c r="P5" s="363"/>
      <c r="Q5" s="363"/>
      <c r="R5" s="363"/>
      <c r="S5" s="363"/>
      <c r="T5" s="363"/>
      <c r="U5" s="363"/>
      <c r="V5" s="363"/>
      <c r="W5" s="363"/>
      <c r="X5" s="363"/>
    </row>
    <row r="6" spans="1:24" ht="17.25" customHeight="1">
      <c r="A6" s="3303" t="str">
        <f>'Exh D-Governmental  '!A6</f>
        <v>FOR SEVEN MONTHS ENDED OCTOBER 31, 2014</v>
      </c>
      <c r="B6" s="354"/>
      <c r="C6" s="803"/>
      <c r="D6" s="349"/>
      <c r="E6" s="803"/>
      <c r="F6" s="349"/>
      <c r="G6" s="349"/>
      <c r="H6" s="349"/>
      <c r="I6" s="349"/>
      <c r="J6" s="349"/>
      <c r="K6" s="363"/>
      <c r="L6" s="363"/>
      <c r="M6" s="363"/>
      <c r="N6" s="363"/>
      <c r="O6" s="363"/>
      <c r="P6" s="363"/>
      <c r="Q6" s="363"/>
      <c r="R6" s="363"/>
      <c r="S6" s="363"/>
      <c r="T6" s="363"/>
      <c r="U6" s="363"/>
      <c r="V6" s="363"/>
      <c r="W6" s="363"/>
      <c r="X6" s="363"/>
    </row>
    <row r="7" spans="1:24" ht="18">
      <c r="A7" s="398" t="s">
        <v>1199</v>
      </c>
      <c r="B7" s="355"/>
      <c r="C7" s="803"/>
      <c r="D7" s="349"/>
      <c r="E7" s="803"/>
      <c r="F7" s="349"/>
      <c r="G7" s="349"/>
      <c r="H7" s="349"/>
      <c r="I7" s="349"/>
      <c r="J7" s="349"/>
      <c r="K7" s="363"/>
      <c r="L7" s="363"/>
      <c r="M7" s="363"/>
      <c r="N7" s="363"/>
      <c r="O7" s="363"/>
      <c r="P7" s="363"/>
      <c r="Q7" s="363"/>
      <c r="R7" s="363"/>
      <c r="S7" s="363"/>
      <c r="T7" s="363"/>
      <c r="U7" s="363"/>
      <c r="V7" s="363"/>
      <c r="W7" s="363"/>
      <c r="X7" s="363"/>
    </row>
    <row r="8" spans="1:24" ht="15" customHeight="1">
      <c r="A8" s="400"/>
      <c r="B8" s="354"/>
      <c r="C8" s="803"/>
      <c r="D8" s="349"/>
      <c r="E8" s="803"/>
      <c r="F8" s="349"/>
      <c r="G8" s="349"/>
      <c r="H8" s="349"/>
      <c r="I8" s="349"/>
      <c r="J8" s="349"/>
      <c r="K8" s="363"/>
      <c r="L8" s="363"/>
      <c r="M8" s="363"/>
      <c r="N8" s="363"/>
      <c r="O8" s="363"/>
      <c r="P8" s="363"/>
      <c r="Q8" s="363"/>
      <c r="R8" s="363"/>
      <c r="S8" s="363"/>
      <c r="T8" s="363"/>
      <c r="U8" s="363"/>
      <c r="V8" s="363"/>
      <c r="W8" s="363"/>
      <c r="X8" s="363"/>
    </row>
    <row r="9" spans="1:24">
      <c r="A9" s="357"/>
      <c r="B9" s="363"/>
      <c r="C9" s="803"/>
      <c r="D9" s="349"/>
      <c r="E9" s="803"/>
      <c r="F9" s="349"/>
      <c r="G9" s="349"/>
      <c r="H9" s="349"/>
      <c r="I9" s="349"/>
      <c r="J9" s="349"/>
      <c r="K9" s="363"/>
      <c r="L9" s="363"/>
      <c r="M9" s="363"/>
      <c r="N9" s="363"/>
      <c r="O9" s="363"/>
      <c r="P9" s="363"/>
      <c r="Q9" s="363"/>
      <c r="R9" s="363"/>
      <c r="S9" s="363"/>
      <c r="T9" s="363"/>
      <c r="U9" s="363"/>
      <c r="V9" s="363"/>
      <c r="W9" s="363"/>
      <c r="X9" s="363"/>
    </row>
    <row r="10" spans="1:24">
      <c r="A10" s="357"/>
      <c r="B10" s="363"/>
      <c r="C10" s="802"/>
      <c r="D10" s="355"/>
      <c r="E10" s="802"/>
      <c r="F10" s="355"/>
      <c r="G10" s="355"/>
      <c r="H10" s="355"/>
      <c r="I10" s="355"/>
      <c r="J10" s="349"/>
      <c r="K10" s="363"/>
      <c r="L10" s="363"/>
      <c r="M10" s="363"/>
      <c r="N10" s="363"/>
      <c r="O10" s="363"/>
      <c r="P10" s="363"/>
      <c r="Q10" s="363"/>
      <c r="R10" s="363"/>
      <c r="S10" s="363"/>
      <c r="T10" s="363"/>
      <c r="U10" s="363"/>
      <c r="V10" s="363"/>
      <c r="W10" s="363"/>
      <c r="X10" s="363"/>
    </row>
    <row r="11" spans="1:24" ht="15.75">
      <c r="A11" s="1407"/>
      <c r="C11" s="3355" t="s">
        <v>1557</v>
      </c>
      <c r="D11" s="3355"/>
      <c r="E11" s="3355"/>
      <c r="F11" s="3355"/>
      <c r="G11" s="3355"/>
      <c r="H11" s="3355"/>
      <c r="I11" s="3355"/>
      <c r="J11" s="2646"/>
      <c r="K11" s="2647"/>
      <c r="L11" s="401"/>
      <c r="M11" s="401"/>
      <c r="N11" s="401"/>
      <c r="O11" s="401"/>
      <c r="P11" s="401"/>
      <c r="Q11" s="401"/>
      <c r="R11" s="358"/>
      <c r="S11" s="401"/>
      <c r="T11" s="402"/>
      <c r="U11" s="401"/>
      <c r="V11" s="401"/>
      <c r="W11" s="401"/>
      <c r="X11" s="401"/>
    </row>
    <row r="12" spans="1:24" ht="15.75">
      <c r="A12" s="1407"/>
      <c r="C12" s="807"/>
      <c r="D12" s="403"/>
      <c r="E12" s="807"/>
      <c r="F12" s="403"/>
      <c r="G12" s="404"/>
      <c r="H12" s="403"/>
      <c r="I12" s="403" t="s">
        <v>88</v>
      </c>
      <c r="J12" s="358"/>
      <c r="K12" s="403" t="s">
        <v>88</v>
      </c>
      <c r="L12" s="401"/>
      <c r="M12" s="401"/>
      <c r="N12" s="401"/>
      <c r="O12" s="401"/>
      <c r="P12" s="401"/>
      <c r="Q12" s="401"/>
      <c r="R12" s="358"/>
      <c r="S12" s="401"/>
      <c r="T12" s="402"/>
      <c r="U12" s="401"/>
      <c r="V12" s="401"/>
      <c r="W12" s="401"/>
      <c r="X12" s="401"/>
    </row>
    <row r="13" spans="1:24" ht="15.75">
      <c r="A13" s="1407"/>
      <c r="B13" s="358"/>
      <c r="C13" s="805"/>
      <c r="D13" s="405"/>
      <c r="E13" s="805"/>
      <c r="F13" s="405"/>
      <c r="G13" s="405"/>
      <c r="H13" s="405"/>
      <c r="I13" s="406" t="s">
        <v>1206</v>
      </c>
      <c r="J13" s="358"/>
      <c r="K13" s="406" t="s">
        <v>1206</v>
      </c>
      <c r="L13" s="358"/>
      <c r="M13" s="358"/>
      <c r="N13" s="358"/>
      <c r="O13" s="358"/>
      <c r="P13" s="407"/>
      <c r="Q13" s="408"/>
      <c r="R13" s="358"/>
      <c r="S13" s="358"/>
      <c r="T13" s="358"/>
      <c r="U13" s="358"/>
      <c r="V13" s="358"/>
      <c r="W13" s="358"/>
      <c r="X13" s="407"/>
    </row>
    <row r="14" spans="1:24" ht="15.75">
      <c r="A14" s="1407"/>
      <c r="B14" s="409"/>
      <c r="C14" s="361" t="s">
        <v>1490</v>
      </c>
      <c r="D14" s="359"/>
      <c r="E14" s="360" t="s">
        <v>1491</v>
      </c>
      <c r="F14" s="359"/>
      <c r="G14" s="359"/>
      <c r="H14" s="359"/>
      <c r="I14" s="360" t="s">
        <v>89</v>
      </c>
      <c r="J14" s="358"/>
      <c r="K14" s="360" t="s">
        <v>89</v>
      </c>
      <c r="L14" s="408"/>
      <c r="M14" s="358"/>
      <c r="N14" s="358"/>
      <c r="O14" s="358"/>
      <c r="P14" s="407"/>
      <c r="Q14" s="408"/>
      <c r="R14" s="358"/>
      <c r="S14" s="407"/>
      <c r="T14" s="408"/>
      <c r="U14" s="358"/>
      <c r="V14" s="358"/>
      <c r="W14" s="358"/>
      <c r="X14" s="407"/>
    </row>
    <row r="15" spans="1:24" ht="15.75">
      <c r="A15" s="1407"/>
      <c r="B15" s="409"/>
      <c r="C15" s="360" t="s">
        <v>1536</v>
      </c>
      <c r="D15" s="359"/>
      <c r="E15" s="360" t="s">
        <v>1536</v>
      </c>
      <c r="F15" s="359"/>
      <c r="G15" s="359"/>
      <c r="H15" s="359"/>
      <c r="I15" s="360" t="s">
        <v>1490</v>
      </c>
      <c r="J15" s="358"/>
      <c r="K15" s="360" t="s">
        <v>1491</v>
      </c>
      <c r="L15" s="408"/>
      <c r="M15" s="358"/>
      <c r="N15" s="358"/>
      <c r="O15" s="358"/>
      <c r="P15" s="407"/>
      <c r="Q15" s="408"/>
      <c r="R15" s="358"/>
      <c r="S15" s="407"/>
      <c r="T15" s="408"/>
      <c r="U15" s="358"/>
      <c r="V15" s="358"/>
      <c r="W15" s="358"/>
      <c r="X15" s="407"/>
    </row>
    <row r="16" spans="1:24" ht="15.75">
      <c r="A16" s="1407"/>
      <c r="B16" s="408"/>
      <c r="C16" s="360" t="s">
        <v>1537</v>
      </c>
      <c r="D16" s="359"/>
      <c r="E16" s="360" t="s">
        <v>1540</v>
      </c>
      <c r="F16" s="359"/>
      <c r="G16" s="361" t="s">
        <v>88</v>
      </c>
      <c r="H16" s="359"/>
      <c r="I16" s="360" t="s">
        <v>90</v>
      </c>
      <c r="J16" s="358"/>
      <c r="K16" s="360" t="s">
        <v>90</v>
      </c>
      <c r="L16" s="408"/>
      <c r="M16" s="358"/>
      <c r="N16" s="407"/>
      <c r="O16" s="358"/>
      <c r="P16" s="407"/>
      <c r="Q16" s="408"/>
      <c r="R16" s="358"/>
      <c r="S16" s="408"/>
      <c r="T16" s="408"/>
      <c r="U16" s="358"/>
      <c r="V16" s="407"/>
      <c r="W16" s="358"/>
      <c r="X16" s="407"/>
    </row>
    <row r="17" spans="1:24">
      <c r="A17" s="362"/>
      <c r="B17" s="363"/>
      <c r="C17" s="364"/>
      <c r="D17" s="349"/>
      <c r="E17" s="364"/>
      <c r="F17" s="349"/>
      <c r="G17" s="364"/>
      <c r="H17" s="349"/>
      <c r="I17" s="364"/>
      <c r="J17" s="363"/>
      <c r="K17" s="364"/>
      <c r="L17" s="363"/>
      <c r="M17" s="363"/>
      <c r="N17" s="363"/>
      <c r="O17" s="363"/>
      <c r="P17" s="363"/>
      <c r="Q17" s="363"/>
      <c r="R17" s="363"/>
      <c r="S17" s="363"/>
      <c r="T17" s="363"/>
      <c r="U17" s="363"/>
      <c r="V17" s="363"/>
      <c r="W17" s="363"/>
      <c r="X17" s="363"/>
    </row>
    <row r="18" spans="1:24" ht="15.75">
      <c r="A18" s="225" t="s">
        <v>15</v>
      </c>
      <c r="B18" s="2156"/>
      <c r="C18" s="1294"/>
      <c r="D18" s="1294"/>
      <c r="E18" s="1294"/>
      <c r="F18" s="1294"/>
      <c r="G18" s="1294"/>
      <c r="H18" s="1294"/>
      <c r="I18" s="1294"/>
      <c r="J18" s="2156"/>
      <c r="K18" s="1294"/>
      <c r="L18" s="2156"/>
      <c r="M18" s="2156"/>
      <c r="N18" s="2156"/>
      <c r="O18" s="2156"/>
      <c r="P18" s="2156"/>
      <c r="Q18" s="2156"/>
      <c r="R18" s="2156"/>
      <c r="S18" s="2156"/>
      <c r="T18" s="2156"/>
      <c r="U18" s="2156"/>
      <c r="V18" s="2156"/>
      <c r="W18" s="2156"/>
      <c r="X18" s="2156"/>
    </row>
    <row r="19" spans="1:24">
      <c r="A19" s="1863" t="s">
        <v>91</v>
      </c>
      <c r="B19" s="2157"/>
      <c r="C19" s="1294"/>
      <c r="D19" s="1294"/>
      <c r="E19" s="1294"/>
      <c r="F19" s="1294"/>
      <c r="G19" s="1294"/>
      <c r="H19" s="2157"/>
      <c r="I19" s="1294"/>
      <c r="J19" s="2156"/>
      <c r="K19" s="1294"/>
      <c r="L19" s="2156"/>
      <c r="M19" s="2156"/>
      <c r="N19" s="2156"/>
      <c r="O19" s="2156"/>
      <c r="P19" s="2156"/>
      <c r="Q19" s="2156"/>
      <c r="R19" s="2156"/>
      <c r="S19" s="2156"/>
      <c r="T19" s="2156"/>
      <c r="U19" s="2156"/>
      <c r="V19" s="2156"/>
      <c r="W19" s="2156"/>
      <c r="X19" s="2156"/>
    </row>
    <row r="20" spans="1:24">
      <c r="A20" s="1863" t="s">
        <v>92</v>
      </c>
      <c r="B20" s="2157" t="s">
        <v>16</v>
      </c>
      <c r="C20" s="1297">
        <v>5624</v>
      </c>
      <c r="D20" s="1297"/>
      <c r="E20" s="1980">
        <v>5841</v>
      </c>
      <c r="F20" s="1297"/>
      <c r="G20" s="2174">
        <f>+'Exhibit H'!AA16</f>
        <v>5843.4</v>
      </c>
      <c r="H20" s="1297"/>
      <c r="I20" s="1295">
        <f t="shared" ref="I20:I25" si="0">ROUND(SUM(G20)-SUM(C20),1)</f>
        <v>219.4</v>
      </c>
      <c r="J20" s="2156"/>
      <c r="K20" s="1295">
        <f t="shared" ref="K20:K25" si="1">ROUND(SUM(G20)-SUM(E20),1)</f>
        <v>2.4</v>
      </c>
      <c r="L20" s="2156"/>
      <c r="M20" s="2156"/>
      <c r="N20" s="2156"/>
      <c r="O20" s="2156"/>
      <c r="P20" s="2156"/>
      <c r="Q20" s="2156"/>
      <c r="R20" s="2156"/>
      <c r="S20" s="2156"/>
      <c r="T20" s="2156"/>
      <c r="U20" s="2156"/>
      <c r="V20" s="2156"/>
      <c r="W20" s="2156"/>
      <c r="X20" s="2156"/>
    </row>
    <row r="21" spans="1:24">
      <c r="A21" s="1863" t="s">
        <v>93</v>
      </c>
      <c r="B21" s="2156" t="s">
        <v>16</v>
      </c>
      <c r="C21" s="2175">
        <v>3451</v>
      </c>
      <c r="D21" s="1214"/>
      <c r="E21" s="2175">
        <v>3510</v>
      </c>
      <c r="F21" s="1214"/>
      <c r="G21" s="1214">
        <f>+'Exhibit H'!AA20</f>
        <v>3510.3</v>
      </c>
      <c r="H21" s="1214"/>
      <c r="I21" s="1214">
        <f t="shared" si="0"/>
        <v>59.3</v>
      </c>
      <c r="J21" s="2176"/>
      <c r="K21" s="1214">
        <f t="shared" si="1"/>
        <v>0.3</v>
      </c>
      <c r="L21" s="2156"/>
      <c r="M21" s="2156"/>
      <c r="N21" s="2156"/>
      <c r="O21" s="2156"/>
      <c r="P21" s="2156"/>
      <c r="Q21" s="2156"/>
      <c r="R21" s="2156"/>
      <c r="S21" s="2156"/>
      <c r="T21" s="2156"/>
      <c r="U21" s="2156"/>
      <c r="V21" s="2156"/>
      <c r="W21" s="2156"/>
      <c r="X21" s="2156"/>
    </row>
    <row r="22" spans="1:24">
      <c r="A22" s="1863" t="s">
        <v>95</v>
      </c>
      <c r="B22" s="2156" t="s">
        <v>16</v>
      </c>
      <c r="C22" s="2179">
        <v>530</v>
      </c>
      <c r="D22" s="1214"/>
      <c r="E22" s="2179">
        <v>534</v>
      </c>
      <c r="F22" s="1214"/>
      <c r="G22" s="1214">
        <f>+'Exhibit H'!AA23</f>
        <v>533.6</v>
      </c>
      <c r="H22" s="1214"/>
      <c r="I22" s="1214">
        <f t="shared" si="0"/>
        <v>3.6</v>
      </c>
      <c r="J22" s="2176"/>
      <c r="K22" s="1214">
        <f t="shared" si="1"/>
        <v>-0.4</v>
      </c>
      <c r="L22" s="2156"/>
      <c r="M22" s="2156"/>
      <c r="N22" s="2156"/>
      <c r="O22" s="2156"/>
      <c r="P22" s="2156"/>
      <c r="Q22" s="2156"/>
      <c r="R22" s="2156"/>
      <c r="S22" s="2156"/>
      <c r="T22" s="2156"/>
      <c r="U22" s="2156"/>
      <c r="V22" s="2156"/>
      <c r="W22" s="2156"/>
      <c r="X22" s="2156"/>
    </row>
    <row r="23" spans="1:24" ht="15" customHeight="1">
      <c r="A23" s="1863" t="s">
        <v>21</v>
      </c>
      <c r="B23" s="2156" t="s">
        <v>16</v>
      </c>
      <c r="C23" s="2179">
        <v>262</v>
      </c>
      <c r="D23" s="1214"/>
      <c r="E23" s="2179">
        <v>309</v>
      </c>
      <c r="F23" s="1214"/>
      <c r="G23" s="1214">
        <f>+'Exhibit H'!AA40</f>
        <v>316.39999999999998</v>
      </c>
      <c r="H23" s="1214"/>
      <c r="I23" s="1214">
        <f t="shared" si="0"/>
        <v>54.4</v>
      </c>
      <c r="J23" s="2176"/>
      <c r="K23" s="1214">
        <f t="shared" si="1"/>
        <v>7.4</v>
      </c>
      <c r="L23" s="2156"/>
      <c r="M23" s="2156"/>
      <c r="N23" s="2156"/>
      <c r="O23" s="2156"/>
      <c r="P23" s="2156"/>
      <c r="Q23" s="2156"/>
      <c r="R23" s="2156"/>
      <c r="S23" s="2156"/>
      <c r="T23" s="2156"/>
      <c r="U23" s="2156"/>
      <c r="V23" s="2156"/>
      <c r="W23" s="2156"/>
      <c r="X23" s="2156"/>
    </row>
    <row r="24" spans="1:24" ht="15" customHeight="1">
      <c r="A24" s="1863" t="s">
        <v>22</v>
      </c>
      <c r="B24" s="2156" t="s">
        <v>16</v>
      </c>
      <c r="C24" s="2175">
        <v>37</v>
      </c>
      <c r="D24" s="1214"/>
      <c r="E24" s="2175">
        <v>37</v>
      </c>
      <c r="F24" s="1214"/>
      <c r="G24" s="1214">
        <f>+'Exhibit H'!AA42</f>
        <v>36.6</v>
      </c>
      <c r="H24" s="1214"/>
      <c r="I24" s="1214">
        <f t="shared" si="0"/>
        <v>-0.4</v>
      </c>
      <c r="J24" s="2176"/>
      <c r="K24" s="1214">
        <f t="shared" si="1"/>
        <v>-0.4</v>
      </c>
      <c r="L24" s="2181"/>
      <c r="M24" s="2156"/>
      <c r="N24" s="2181"/>
      <c r="O24" s="2156"/>
      <c r="P24" s="2181"/>
      <c r="Q24" s="2182"/>
      <c r="R24" s="2156"/>
      <c r="S24" s="2156"/>
      <c r="T24" s="2156"/>
      <c r="U24" s="2156"/>
      <c r="V24" s="2156"/>
      <c r="W24" s="2156"/>
      <c r="X24" s="2156"/>
    </row>
    <row r="25" spans="1:24">
      <c r="A25" s="1863" t="s">
        <v>49</v>
      </c>
      <c r="B25" s="2182" t="s">
        <v>16</v>
      </c>
      <c r="C25" s="2184">
        <v>2369</v>
      </c>
      <c r="D25" s="1214"/>
      <c r="E25" s="2184">
        <v>2166</v>
      </c>
      <c r="F25" s="1214"/>
      <c r="G25" s="2161">
        <f>+'Exhibit H'!AA59</f>
        <v>2304.3000000000002</v>
      </c>
      <c r="H25" s="1214"/>
      <c r="I25" s="1214">
        <f t="shared" si="0"/>
        <v>-64.7</v>
      </c>
      <c r="J25" s="2176"/>
      <c r="K25" s="1214">
        <f t="shared" si="1"/>
        <v>138.30000000000001</v>
      </c>
      <c r="L25" s="2181"/>
      <c r="M25" s="2156"/>
      <c r="N25" s="2181"/>
      <c r="O25" s="2156"/>
      <c r="P25" s="2181"/>
      <c r="Q25" s="2182"/>
      <c r="R25" s="2156"/>
      <c r="S25" s="2156"/>
      <c r="T25" s="2156"/>
      <c r="U25" s="2156"/>
      <c r="V25" s="2156"/>
      <c r="W25" s="2156"/>
      <c r="X25" s="2156"/>
    </row>
    <row r="26" spans="1:24" ht="18" customHeight="1">
      <c r="A26" s="2236" t="s">
        <v>114</v>
      </c>
      <c r="B26" s="358" t="s">
        <v>16</v>
      </c>
      <c r="C26" s="425">
        <f>ROUND(SUM(C20:C25),1)</f>
        <v>12273</v>
      </c>
      <c r="D26" s="2154"/>
      <c r="E26" s="425">
        <f>ROUND(SUM(E20:E25),1)</f>
        <v>12397</v>
      </c>
      <c r="F26" s="2154"/>
      <c r="G26" s="425">
        <f>ROUND(SUM(G20:G25),1)</f>
        <v>12544.6</v>
      </c>
      <c r="H26" s="2154"/>
      <c r="I26" s="425">
        <f>ROUND(SUM(I20:I25),1)</f>
        <v>271.60000000000002</v>
      </c>
      <c r="J26" s="277"/>
      <c r="K26" s="425">
        <f>ROUND(SUM(K20:K25),1)</f>
        <v>147.6</v>
      </c>
      <c r="L26" s="358"/>
      <c r="M26" s="358"/>
      <c r="N26" s="358"/>
      <c r="O26" s="358"/>
      <c r="P26" s="358"/>
      <c r="Q26" s="358"/>
      <c r="R26" s="358"/>
      <c r="S26" s="358"/>
      <c r="T26" s="358"/>
      <c r="U26" s="358"/>
      <c r="V26" s="358"/>
      <c r="W26" s="358"/>
      <c r="X26" s="358"/>
    </row>
    <row r="27" spans="1:24">
      <c r="A27" s="1407"/>
      <c r="B27" s="2156"/>
      <c r="C27" s="1405"/>
      <c r="D27" s="1214"/>
      <c r="E27" s="1405"/>
      <c r="F27" s="1214"/>
      <c r="G27" s="1405"/>
      <c r="H27" s="1214"/>
      <c r="I27" s="1405"/>
      <c r="J27" s="2176"/>
      <c r="K27" s="1405"/>
      <c r="L27" s="2156"/>
      <c r="M27" s="2156"/>
      <c r="N27" s="2156"/>
      <c r="O27" s="2156"/>
      <c r="P27" s="2156"/>
      <c r="Q27" s="2156"/>
      <c r="R27" s="2156"/>
      <c r="S27" s="2156"/>
      <c r="T27" s="2156"/>
      <c r="U27" s="2156"/>
      <c r="V27" s="2156"/>
      <c r="W27" s="2156"/>
      <c r="X27" s="2156"/>
    </row>
    <row r="28" spans="1:24" ht="15.75">
      <c r="A28" s="225" t="s">
        <v>24</v>
      </c>
      <c r="B28" s="2156"/>
      <c r="C28" s="1214"/>
      <c r="D28" s="1214"/>
      <c r="E28" s="1214"/>
      <c r="F28" s="1214"/>
      <c r="G28" s="1214"/>
      <c r="H28" s="1214"/>
      <c r="I28" s="1214"/>
      <c r="J28" s="2176"/>
      <c r="K28" s="1214"/>
      <c r="L28" s="2156"/>
      <c r="M28" s="2156"/>
      <c r="N28" s="2156"/>
      <c r="O28" s="2156"/>
      <c r="P28" s="2156"/>
      <c r="Q28" s="2156"/>
      <c r="R28" s="2156"/>
      <c r="S28" s="2156"/>
      <c r="T28" s="2156"/>
      <c r="U28" s="2156"/>
      <c r="V28" s="2156"/>
      <c r="W28" s="2156"/>
      <c r="X28" s="2156"/>
    </row>
    <row r="29" spans="1:24">
      <c r="A29" s="1863" t="s">
        <v>98</v>
      </c>
      <c r="B29" s="2178" t="s">
        <v>16</v>
      </c>
      <c r="C29" s="1372">
        <v>23</v>
      </c>
      <c r="D29" s="1214"/>
      <c r="E29" s="1372">
        <v>20</v>
      </c>
      <c r="F29" s="1214"/>
      <c r="G29" s="1372">
        <f>+'Exhibit H'!AA48</f>
        <v>21.6</v>
      </c>
      <c r="H29" s="1214"/>
      <c r="I29" s="1214">
        <f>ROUND(SUM(G29)-SUM(C29),1)</f>
        <v>-1.4</v>
      </c>
      <c r="J29" s="2176"/>
      <c r="K29" s="1214">
        <f>ROUND(SUM(G29)-SUM(E29),1)</f>
        <v>1.6</v>
      </c>
      <c r="L29" s="2178"/>
      <c r="M29" s="2156"/>
      <c r="N29" s="2178"/>
      <c r="O29" s="2156"/>
      <c r="P29" s="2181"/>
      <c r="Q29" s="2156"/>
      <c r="R29" s="2156"/>
      <c r="S29" s="2181"/>
      <c r="T29" s="2181"/>
      <c r="U29" s="2156"/>
      <c r="V29" s="2181"/>
      <c r="W29" s="2156"/>
      <c r="X29" s="2181"/>
    </row>
    <row r="30" spans="1:24" ht="14.25" customHeight="1">
      <c r="A30" s="1863" t="s">
        <v>99</v>
      </c>
      <c r="B30" s="2182" t="s">
        <v>16</v>
      </c>
      <c r="C30" s="1296">
        <v>2016</v>
      </c>
      <c r="D30" s="1214"/>
      <c r="E30" s="1296">
        <v>1995</v>
      </c>
      <c r="F30" s="1214"/>
      <c r="G30" s="1296">
        <f>+'Exhibit H'!AA50</f>
        <v>2052.3000000000002</v>
      </c>
      <c r="H30" s="1214"/>
      <c r="I30" s="1214">
        <f>ROUND(SUM(G30)-SUM(C30),1)</f>
        <v>36.299999999999997</v>
      </c>
      <c r="J30" s="2176"/>
      <c r="K30" s="1214">
        <f>ROUND(SUM(G30)-SUM(E30),1)</f>
        <v>57.3</v>
      </c>
      <c r="L30" s="2178"/>
      <c r="M30" s="2156"/>
      <c r="N30" s="2178"/>
      <c r="O30" s="2156"/>
      <c r="P30" s="2156"/>
      <c r="Q30" s="2156"/>
      <c r="R30" s="2156"/>
      <c r="S30" s="2181"/>
      <c r="T30" s="2181"/>
      <c r="U30" s="2156"/>
      <c r="V30" s="2181"/>
      <c r="W30" s="2156"/>
      <c r="X30" s="2181"/>
    </row>
    <row r="31" spans="1:24">
      <c r="A31" s="1863" t="s">
        <v>102</v>
      </c>
      <c r="B31" s="2182" t="s">
        <v>16</v>
      </c>
      <c r="C31" s="1403">
        <v>9761</v>
      </c>
      <c r="D31" s="1214"/>
      <c r="E31" s="1403">
        <v>9844</v>
      </c>
      <c r="F31" s="1214"/>
      <c r="G31" s="1372">
        <f>-'Exhibit H'!AA60</f>
        <v>9852</v>
      </c>
      <c r="H31" s="1214"/>
      <c r="I31" s="1214">
        <f>ROUND(SUM(G31)-SUM(C31),1)</f>
        <v>91</v>
      </c>
      <c r="J31" s="2176"/>
      <c r="K31" s="1214">
        <f>ROUND(SUM(G31)-SUM(E31),1)</f>
        <v>8</v>
      </c>
      <c r="L31" s="2181"/>
      <c r="M31" s="2156"/>
      <c r="N31" s="2181"/>
      <c r="O31" s="2156"/>
      <c r="P31" s="2181"/>
      <c r="Q31" s="2182"/>
      <c r="R31" s="2156"/>
      <c r="S31" s="2156"/>
      <c r="T31" s="2156"/>
      <c r="U31" s="2156"/>
      <c r="V31" s="2156"/>
      <c r="W31" s="2156"/>
      <c r="X31" s="2156"/>
    </row>
    <row r="32" spans="1:24" ht="18" customHeight="1">
      <c r="A32" s="2236" t="s">
        <v>123</v>
      </c>
      <c r="B32" s="358" t="s">
        <v>16</v>
      </c>
      <c r="C32" s="425">
        <f>ROUND(SUM(C29:C31),1)</f>
        <v>11800</v>
      </c>
      <c r="D32" s="2154"/>
      <c r="E32" s="425">
        <f>ROUND(SUM(E29:E31),1)</f>
        <v>11859</v>
      </c>
      <c r="F32" s="2154"/>
      <c r="G32" s="425">
        <f>ROUND(SUM(G29:G31),1)</f>
        <v>11925.9</v>
      </c>
      <c r="H32" s="2154"/>
      <c r="I32" s="425">
        <f>ROUND(SUM(I29:I31),1)</f>
        <v>125.9</v>
      </c>
      <c r="J32" s="277"/>
      <c r="K32" s="425">
        <f>ROUND(SUM(K29:K31),1)</f>
        <v>66.900000000000006</v>
      </c>
      <c r="L32" s="358"/>
      <c r="M32" s="358"/>
      <c r="N32" s="358"/>
      <c r="O32" s="358"/>
      <c r="P32" s="358"/>
      <c r="Q32" s="358"/>
      <c r="R32" s="358"/>
      <c r="S32" s="358"/>
      <c r="T32" s="358"/>
      <c r="U32" s="358"/>
      <c r="V32" s="358"/>
      <c r="W32" s="358"/>
      <c r="X32" s="358"/>
    </row>
    <row r="33" spans="1:24">
      <c r="A33" s="1407"/>
      <c r="B33" s="2156"/>
      <c r="C33" s="1405"/>
      <c r="D33" s="1214"/>
      <c r="E33" s="1405"/>
      <c r="F33" s="1214"/>
      <c r="G33" s="1405"/>
      <c r="H33" s="1214"/>
      <c r="I33" s="1405"/>
      <c r="J33" s="2176"/>
      <c r="K33" s="1405"/>
      <c r="L33" s="2156"/>
      <c r="M33" s="2156"/>
      <c r="N33" s="2156"/>
      <c r="O33" s="2156"/>
      <c r="P33" s="2156"/>
      <c r="Q33" s="2156"/>
      <c r="R33" s="2156"/>
      <c r="S33" s="2156"/>
      <c r="T33" s="2156"/>
      <c r="U33" s="2156"/>
      <c r="V33" s="2156"/>
      <c r="W33" s="2156"/>
      <c r="X33" s="2156"/>
    </row>
    <row r="34" spans="1:24" ht="15.75">
      <c r="A34" s="225" t="s">
        <v>124</v>
      </c>
      <c r="B34" s="2156"/>
      <c r="C34" s="1214"/>
      <c r="D34" s="1214"/>
      <c r="E34" s="1214"/>
      <c r="F34" s="1214"/>
      <c r="G34" s="1214"/>
      <c r="H34" s="1214"/>
      <c r="I34" s="1214"/>
      <c r="J34" s="2176"/>
      <c r="K34" s="1214"/>
      <c r="L34" s="2156"/>
      <c r="M34" s="2156"/>
      <c r="N34" s="2156"/>
      <c r="O34" s="2156"/>
      <c r="P34" s="2156"/>
      <c r="Q34" s="2156"/>
      <c r="R34" s="2156"/>
      <c r="S34" s="2156"/>
      <c r="T34" s="2156"/>
      <c r="U34" s="2156"/>
      <c r="V34" s="2156"/>
      <c r="W34" s="2156"/>
      <c r="X34" s="2156"/>
    </row>
    <row r="35" spans="1:24" ht="15.75">
      <c r="A35" s="225" t="s">
        <v>125</v>
      </c>
      <c r="B35" s="2156"/>
      <c r="C35" s="1214"/>
      <c r="D35" s="1214"/>
      <c r="E35" s="1214"/>
      <c r="F35" s="1214"/>
      <c r="G35" s="1214"/>
      <c r="H35" s="1214"/>
      <c r="I35" s="1214"/>
      <c r="J35" s="2176"/>
      <c r="K35" s="1214"/>
      <c r="L35" s="2156"/>
      <c r="M35" s="2156"/>
      <c r="N35" s="2156"/>
      <c r="O35" s="2156"/>
      <c r="P35" s="2156"/>
      <c r="Q35" s="2156"/>
      <c r="R35" s="2156"/>
      <c r="S35" s="2156"/>
      <c r="T35" s="2156"/>
      <c r="U35" s="2156"/>
      <c r="V35" s="2156"/>
      <c r="W35" s="2156"/>
      <c r="X35" s="2156"/>
    </row>
    <row r="36" spans="1:24" ht="15.75">
      <c r="A36" s="2236" t="s">
        <v>106</v>
      </c>
      <c r="B36" s="2231" t="s">
        <v>16</v>
      </c>
      <c r="C36" s="277">
        <f>ROUND(SUM(C26)-SUM(C32),1)</f>
        <v>473</v>
      </c>
      <c r="D36" s="288"/>
      <c r="E36" s="277">
        <f>ROUND(SUM(E26)-SUM(E32),1)</f>
        <v>538</v>
      </c>
      <c r="F36" s="288"/>
      <c r="G36" s="277">
        <f>ROUND(SUM(G26)-SUM(G32),1)</f>
        <v>618.70000000000005</v>
      </c>
      <c r="H36" s="288"/>
      <c r="I36" s="277">
        <f>ROUND(SUM(I26)-SUM(I32),1)</f>
        <v>145.69999999999999</v>
      </c>
      <c r="J36" s="758"/>
      <c r="K36" s="277">
        <f>ROUND(SUM(K26)-SUM(K32),1)</f>
        <v>80.7</v>
      </c>
      <c r="L36" s="358"/>
      <c r="M36" s="381"/>
      <c r="N36" s="358"/>
      <c r="O36" s="381"/>
      <c r="P36" s="358"/>
      <c r="Q36" s="358"/>
      <c r="R36" s="381"/>
      <c r="S36" s="358"/>
      <c r="T36" s="358"/>
      <c r="U36" s="381"/>
      <c r="V36" s="358"/>
      <c r="W36" s="381"/>
      <c r="X36" s="358"/>
    </row>
    <row r="37" spans="1:24" ht="15" customHeight="1">
      <c r="C37" s="1312"/>
      <c r="D37" s="2165"/>
      <c r="E37" s="1312"/>
      <c r="F37" s="2165"/>
      <c r="G37" s="1312"/>
      <c r="H37" s="2165"/>
      <c r="I37" s="1312"/>
      <c r="J37" s="1312"/>
      <c r="K37" s="1312"/>
    </row>
    <row r="38" spans="1:24" ht="15.75">
      <c r="A38" s="2252" t="str">
        <f>'Exh D-Governmental  '!A49</f>
        <v>Fund Balances (Deficits) at April 1</v>
      </c>
      <c r="B38" s="1173" t="s">
        <v>16</v>
      </c>
      <c r="C38" s="277">
        <v>65</v>
      </c>
      <c r="D38" s="2165"/>
      <c r="E38" s="277">
        <v>65</v>
      </c>
      <c r="F38" s="2165"/>
      <c r="G38" s="277">
        <f>'Exhibit H'!AA12</f>
        <v>65.099999999999994</v>
      </c>
      <c r="H38" s="2165"/>
      <c r="I38" s="285">
        <f>ROUND(SUM(G38-C38),1)</f>
        <v>0.1</v>
      </c>
      <c r="J38" s="1312"/>
      <c r="K38" s="2154">
        <f>ROUND(SUM(G38)-SUM(E38),1)</f>
        <v>0.1</v>
      </c>
    </row>
    <row r="39" spans="1:24" ht="18" customHeight="1" thickBot="1">
      <c r="A39" s="3103" t="str">
        <f>+'Exh D-Governmental  '!A50</f>
        <v>Fund Balances (Deficits) at October 31</v>
      </c>
      <c r="B39" s="387" t="s">
        <v>16</v>
      </c>
      <c r="C39" s="303">
        <f>ROUND(SUM(C36:C38),1)</f>
        <v>538</v>
      </c>
      <c r="D39" s="388"/>
      <c r="E39" s="303">
        <f>ROUND(SUM(E36:E38),1)</f>
        <v>603</v>
      </c>
      <c r="F39" s="388"/>
      <c r="G39" s="303">
        <f>ROUND(SUM(G36:G38),1)</f>
        <v>683.8</v>
      </c>
      <c r="H39" s="388"/>
      <c r="I39" s="303">
        <f>ROUND(SUM(I36:I38),1)</f>
        <v>145.80000000000001</v>
      </c>
      <c r="K39" s="303">
        <f>ROUND(SUM(K36:K38),1)</f>
        <v>80.8</v>
      </c>
    </row>
    <row r="40" spans="1:24" ht="15" customHeight="1" thickTop="1">
      <c r="A40" s="362"/>
      <c r="C40" s="1406"/>
      <c r="D40" s="2185"/>
      <c r="E40" s="1406"/>
      <c r="F40" s="2185"/>
      <c r="G40" s="2185"/>
      <c r="H40" s="2185"/>
      <c r="I40" s="2185"/>
      <c r="K40" s="2185"/>
    </row>
    <row r="41" spans="1:24">
      <c r="A41" s="2169" t="s">
        <v>1374</v>
      </c>
    </row>
    <row r="42" spans="1:24">
      <c r="A42" s="2658" t="s">
        <v>1650</v>
      </c>
    </row>
    <row r="43" spans="1:24">
      <c r="A43" s="2186"/>
    </row>
    <row r="44" spans="1:24">
      <c r="A44" s="2186"/>
    </row>
    <row r="46" spans="1:24">
      <c r="A46" s="411"/>
    </row>
    <row r="47" spans="1:24">
      <c r="A47" s="411"/>
    </row>
  </sheetData>
  <customSheetViews>
    <customSheetView guid="{BD09DBC2-63A5-4D9C-9B00-4281066E9389}" scale="70" showPageBreaks="1" showGridLines="0" fitToPage="1" printArea="1">
      <selection activeCell="L9" sqref="L9"/>
      <pageMargins left="0.75" right="0.75" top="0.75" bottom="0.75" header="0.5" footer="0.25"/>
      <pageSetup scale="71" firstPageNumber="12" orientation="landscape" useFirstPageNumber="1" r:id="rId1"/>
      <headerFooter alignWithMargins="0">
        <oddFooter>&amp;C&amp;P</oddFooter>
      </headerFooter>
    </customSheetView>
    <customSheetView guid="{C82E0A7D-2B5B-48FC-A705-3168E651E04C}" scale="76" showPageBreaks="1" showGridLines="0" fitToPage="1" topLeftCell="A7">
      <selection activeCell="G21" sqref="G21"/>
      <pageMargins left="0.75" right="0.75" top="0.75" bottom="0.75" header="0.5" footer="0.25"/>
      <pageSetup scale="43" orientation="landscape" r:id="rId2"/>
      <headerFooter scaleWithDoc="0" alignWithMargins="0">
        <oddFooter>&amp;C&amp;8 12</oddFooter>
      </headerFooter>
    </customSheetView>
    <customSheetView guid="{A8B05C3B-0E7E-44A3-A097-AF4C5C09F04E}" scale="76" showPageBreaks="1" showGridLines="0" fitToPage="1" printArea="1" topLeftCell="A10">
      <selection activeCell="G23" sqref="G23"/>
      <pageMargins left="0.75" right="0.75" top="0.75" bottom="0.75" header="0.5" footer="0.25"/>
      <pageSetup scale="71" orientation="landscape" r:id="rId3"/>
      <headerFooter scaleWithDoc="0" alignWithMargins="0">
        <oddFooter>&amp;C&amp;8 12</oddFooter>
      </headerFooter>
    </customSheetView>
    <customSheetView guid="{8EE6466D-211E-4E05-9F84-CC0A1C6F79F4}" scale="76" showGridLines="0" fitToPage="1">
      <selection activeCell="G23" sqref="G23"/>
      <pageMargins left="0.75" right="0.75" top="0.75" bottom="0.75" header="0.5" footer="0.25"/>
      <pageSetup scale="71" orientation="landscape" r:id="rId4"/>
      <headerFooter scaleWithDoc="0" alignWithMargins="0">
        <oddFooter>&amp;C&amp;8 12</oddFooter>
      </headerFooter>
    </customSheetView>
    <customSheetView guid="{4735AAE3-27B4-4549-AAB4-50ACA997F5F5}" scale="76" showPageBreaks="1" showGridLines="0" fitToPage="1" topLeftCell="A10">
      <selection activeCell="C20" sqref="C20"/>
      <pageMargins left="0.75" right="0.75" top="0.75" bottom="0.75" header="0.5" footer="0.25"/>
      <pageSetup scale="43" orientation="landscape" r:id="rId5"/>
      <headerFooter scaleWithDoc="0" alignWithMargins="0">
        <oddFooter>&amp;C&amp;8 12</oddFooter>
      </headerFooter>
    </customSheetView>
    <customSheetView guid="{80622567-647A-4891-B8EE-6B9E2C4DAC44}" scale="76" showPageBreaks="1" showGridLines="0" fitToPage="1" printArea="1" topLeftCell="A9">
      <selection activeCell="J80" sqref="J80"/>
      <pageMargins left="0.75" right="0.75" top="0.75" bottom="0.75" header="0.5" footer="0.25"/>
      <pageSetup scale="71" orientation="landscape" r:id="rId6"/>
      <headerFooter scaleWithDoc="0" alignWithMargins="0">
        <oddFooter>&amp;C&amp;8 12</oddFooter>
      </headerFooter>
    </customSheetView>
    <customSheetView guid="{A97EE6C3-4DA8-41BD-BE43-F596EFCB43CA}" scale="76" showPageBreaks="1" showGridLines="0" fitToPage="1" printArea="1">
      <selection activeCell="N15" sqref="N15"/>
      <pageMargins left="0.75" right="0.75" top="0.75" bottom="0.75" header="0.5" footer="0.25"/>
      <pageSetup scale="71" orientation="landscape" r:id="rId7"/>
      <headerFooter scaleWithDoc="0" alignWithMargins="0">
        <oddFooter>&amp;C&amp;8 12</oddFooter>
      </headerFooter>
    </customSheetView>
    <customSheetView guid="{90B76C5A-2FC4-40F0-8436-3E4F075A4887}" scale="70" showPageBreaks="1" showGridLines="0" fitToPage="1" printArea="1">
      <selection activeCell="J80" sqref="J80"/>
      <pageMargins left="0.75" right="0.75" top="0.75" bottom="0.75" header="0.5" footer="0.25"/>
      <pageSetup scale="71" orientation="landscape" r:id="rId8"/>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9"/>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dimension ref="A1:AD48"/>
  <sheetViews>
    <sheetView showGridLines="0" zoomScale="70" zoomScaleNormal="70" workbookViewId="0"/>
  </sheetViews>
  <sheetFormatPr defaultRowHeight="15"/>
  <cols>
    <col min="1" max="1" width="54" style="2164" customWidth="1"/>
    <col min="2" max="2" width="2.109375" style="2168" customWidth="1"/>
    <col min="3" max="3" width="18.109375" style="806" bestFit="1" customWidth="1"/>
    <col min="4" max="4" width="3.6640625" style="2168" customWidth="1"/>
    <col min="5" max="5" width="15.44140625" style="806" customWidth="1"/>
    <col min="6" max="6" width="2.6640625" style="2168" customWidth="1"/>
    <col min="7" max="7" width="14" style="2168" customWidth="1"/>
    <col min="8" max="8" width="2.6640625" style="2168" customWidth="1"/>
    <col min="9" max="9" width="15.6640625" style="2168" bestFit="1" customWidth="1"/>
    <col min="10" max="10" width="3.6640625" style="2168" bestFit="1" customWidth="1"/>
    <col min="11" max="11" width="15.44140625" style="2168" customWidth="1"/>
    <col min="12" max="15" width="8.88671875" style="2168"/>
    <col min="16" max="16384" width="8.88671875" style="2164"/>
  </cols>
  <sheetData>
    <row r="1" spans="1:30">
      <c r="A1" s="1227" t="s">
        <v>1322</v>
      </c>
    </row>
    <row r="2" spans="1:30" ht="16.5">
      <c r="A2" s="392"/>
      <c r="B2" s="394"/>
      <c r="C2" s="800"/>
      <c r="D2" s="394"/>
      <c r="E2" s="800"/>
      <c r="F2" s="394"/>
      <c r="G2" s="394"/>
      <c r="H2" s="394"/>
      <c r="I2" s="394"/>
    </row>
    <row r="3" spans="1:30" ht="21" customHeight="1">
      <c r="A3" s="398" t="s">
        <v>0</v>
      </c>
      <c r="B3" s="355"/>
      <c r="C3" s="802"/>
      <c r="D3" s="349"/>
      <c r="E3" s="803"/>
      <c r="F3" s="349"/>
      <c r="G3" s="349"/>
      <c r="H3" s="349"/>
      <c r="I3" s="1872"/>
      <c r="K3" s="1872" t="s">
        <v>87</v>
      </c>
    </row>
    <row r="4" spans="1:30" ht="18">
      <c r="A4" s="398" t="s">
        <v>86</v>
      </c>
      <c r="B4" s="355"/>
      <c r="C4" s="802"/>
      <c r="D4" s="349"/>
      <c r="E4" s="803"/>
      <c r="F4" s="349"/>
      <c r="G4" s="349"/>
      <c r="H4" s="349"/>
      <c r="I4" s="1873"/>
      <c r="K4" s="1873" t="s">
        <v>108</v>
      </c>
    </row>
    <row r="5" spans="1:30" ht="18">
      <c r="A5" s="3221" t="s">
        <v>1625</v>
      </c>
      <c r="B5"/>
      <c r="C5"/>
      <c r="D5" s="349"/>
      <c r="E5" s="803"/>
      <c r="F5" s="349"/>
      <c r="G5" s="349"/>
      <c r="H5" s="349"/>
      <c r="I5" s="349"/>
    </row>
    <row r="6" spans="1:30" ht="18.95" customHeight="1">
      <c r="A6" s="3304" t="str">
        <f>+'Exh D-Governmental  '!A6</f>
        <v>FOR SEVEN MONTHS ENDED OCTOBER 31, 2014</v>
      </c>
      <c r="B6" s="354"/>
      <c r="C6" s="802"/>
      <c r="D6" s="349"/>
      <c r="E6" s="803"/>
      <c r="F6" s="349"/>
      <c r="G6" s="349"/>
      <c r="H6" s="349"/>
      <c r="I6" s="349"/>
      <c r="J6" s="349"/>
      <c r="K6" s="363"/>
      <c r="L6" s="363"/>
      <c r="M6" s="363"/>
      <c r="N6" s="363"/>
      <c r="O6" s="363"/>
      <c r="P6" s="363"/>
      <c r="Q6" s="363"/>
      <c r="R6" s="363"/>
      <c r="S6" s="363"/>
      <c r="T6" s="363"/>
      <c r="U6" s="363"/>
      <c r="V6" s="363"/>
      <c r="W6" s="363"/>
      <c r="X6" s="363"/>
      <c r="Y6" s="1173"/>
      <c r="Z6" s="1173"/>
      <c r="AA6" s="1173"/>
      <c r="AB6" s="1173"/>
      <c r="AC6" s="1173"/>
      <c r="AD6" s="2168"/>
    </row>
    <row r="7" spans="1:30" ht="18">
      <c r="A7" s="398" t="s">
        <v>1199</v>
      </c>
      <c r="B7" s="355"/>
      <c r="C7" s="802"/>
      <c r="D7" s="349"/>
      <c r="E7" s="803"/>
      <c r="F7" s="349"/>
      <c r="G7" s="349"/>
      <c r="H7" s="349"/>
      <c r="I7" s="349"/>
    </row>
    <row r="8" spans="1:30" ht="18">
      <c r="A8" s="400"/>
      <c r="B8" s="355"/>
      <c r="C8" s="2237"/>
      <c r="D8" s="363"/>
      <c r="E8" s="803"/>
      <c r="F8" s="349"/>
      <c r="G8" s="349"/>
      <c r="H8" s="349"/>
      <c r="I8" s="349"/>
    </row>
    <row r="9" spans="1:30">
      <c r="A9" s="357"/>
      <c r="B9" s="349"/>
      <c r="C9" s="2636"/>
      <c r="D9" s="363"/>
      <c r="E9" s="803"/>
      <c r="F9" s="349"/>
      <c r="G9" s="349"/>
      <c r="H9" s="349"/>
      <c r="I9" s="349"/>
    </row>
    <row r="10" spans="1:30">
      <c r="A10" s="357"/>
      <c r="B10" s="349"/>
      <c r="C10" s="2237"/>
      <c r="D10" s="354"/>
      <c r="E10" s="802"/>
      <c r="F10" s="355"/>
      <c r="G10" s="355"/>
      <c r="H10" s="355"/>
      <c r="I10" s="355"/>
      <c r="J10" s="2187"/>
    </row>
    <row r="11" spans="1:30" ht="15.75">
      <c r="A11" s="1407"/>
      <c r="B11" s="358"/>
      <c r="C11" s="2630"/>
      <c r="D11" s="2642"/>
      <c r="E11" s="2630"/>
      <c r="F11" s="2640"/>
      <c r="G11" s="2657" t="s">
        <v>1558</v>
      </c>
      <c r="H11" s="2640"/>
      <c r="I11" s="2640"/>
      <c r="J11" s="2643"/>
      <c r="K11" s="2622"/>
    </row>
    <row r="12" spans="1:30" ht="15.75">
      <c r="A12" s="1407"/>
      <c r="B12" s="358"/>
      <c r="C12" s="359"/>
      <c r="D12" s="359"/>
      <c r="E12" s="359"/>
      <c r="F12" s="359"/>
      <c r="G12" s="359"/>
      <c r="H12" s="359"/>
      <c r="I12" s="360" t="s">
        <v>88</v>
      </c>
      <c r="J12" s="360"/>
      <c r="K12" s="360" t="s">
        <v>88</v>
      </c>
    </row>
    <row r="13" spans="1:30" ht="15.75">
      <c r="A13" s="1407"/>
      <c r="B13" s="358"/>
      <c r="C13" s="359"/>
      <c r="D13" s="359"/>
      <c r="E13" s="359"/>
      <c r="F13" s="359"/>
      <c r="G13" s="359"/>
      <c r="H13" s="359"/>
      <c r="I13" s="360" t="s">
        <v>1206</v>
      </c>
      <c r="J13" s="360"/>
      <c r="K13" s="360" t="s">
        <v>1206</v>
      </c>
    </row>
    <row r="14" spans="1:30" ht="15.75">
      <c r="A14" s="1407"/>
      <c r="B14" s="358"/>
      <c r="C14" s="361" t="s">
        <v>1490</v>
      </c>
      <c r="D14" s="359"/>
      <c r="E14" s="360" t="s">
        <v>1491</v>
      </c>
      <c r="F14" s="359"/>
      <c r="G14" s="359"/>
      <c r="H14" s="359"/>
      <c r="I14" s="360" t="s">
        <v>89</v>
      </c>
      <c r="J14" s="360"/>
      <c r="K14" s="360" t="s">
        <v>89</v>
      </c>
    </row>
    <row r="15" spans="1:30" ht="15.75" customHeight="1">
      <c r="A15" s="1407"/>
      <c r="B15" s="358"/>
      <c r="C15" s="360" t="s">
        <v>1536</v>
      </c>
      <c r="D15" s="359"/>
      <c r="E15" s="360" t="s">
        <v>1536</v>
      </c>
      <c r="F15" s="359"/>
      <c r="G15" s="359"/>
      <c r="H15" s="359"/>
      <c r="I15" s="360" t="s">
        <v>1490</v>
      </c>
      <c r="J15" s="360"/>
      <c r="K15" s="360" t="s">
        <v>1491</v>
      </c>
    </row>
    <row r="16" spans="1:30" ht="15.75">
      <c r="A16" s="1407"/>
      <c r="B16" s="358"/>
      <c r="C16" s="360" t="s">
        <v>1537</v>
      </c>
      <c r="D16" s="359"/>
      <c r="E16" s="360" t="s">
        <v>1540</v>
      </c>
      <c r="F16" s="359"/>
      <c r="G16" s="361" t="s">
        <v>88</v>
      </c>
      <c r="H16" s="359"/>
      <c r="I16" s="360" t="s">
        <v>90</v>
      </c>
      <c r="J16" s="360"/>
      <c r="K16" s="360" t="s">
        <v>90</v>
      </c>
    </row>
    <row r="17" spans="1:30">
      <c r="A17" s="362"/>
      <c r="B17" s="363"/>
      <c r="C17" s="364"/>
      <c r="D17" s="363"/>
      <c r="E17" s="364"/>
      <c r="F17" s="349"/>
      <c r="G17" s="364"/>
      <c r="H17" s="349"/>
      <c r="I17" s="364"/>
      <c r="K17" s="364"/>
    </row>
    <row r="18" spans="1:30" ht="15.75">
      <c r="A18" s="225" t="s">
        <v>15</v>
      </c>
      <c r="B18" s="2156"/>
      <c r="C18" s="1294"/>
      <c r="D18" s="2156"/>
      <c r="E18" s="1294"/>
      <c r="F18" s="1294"/>
      <c r="G18" s="1294" t="s">
        <v>16</v>
      </c>
      <c r="H18" s="1294"/>
      <c r="I18" s="1294"/>
      <c r="K18" s="1294"/>
    </row>
    <row r="19" spans="1:30">
      <c r="A19" s="1863" t="s">
        <v>91</v>
      </c>
      <c r="B19" s="2157" t="s">
        <v>16</v>
      </c>
      <c r="C19" s="1295"/>
      <c r="D19" s="2244"/>
      <c r="E19" s="1295"/>
      <c r="F19" s="1295"/>
      <c r="G19" s="2189"/>
      <c r="H19" s="1297"/>
      <c r="I19" s="1295"/>
      <c r="J19" s="2156"/>
      <c r="K19" s="1295"/>
      <c r="L19" s="2156"/>
      <c r="M19" s="2156"/>
      <c r="N19" s="2156"/>
      <c r="O19" s="2156"/>
      <c r="P19" s="2156"/>
      <c r="Q19" s="2156"/>
      <c r="R19" s="2156"/>
      <c r="S19" s="2156"/>
      <c r="T19" s="2156"/>
      <c r="U19" s="2156"/>
      <c r="V19" s="2156"/>
      <c r="W19" s="2156"/>
      <c r="X19" s="2156"/>
      <c r="Y19" s="1173"/>
      <c r="Z19" s="1173"/>
      <c r="AA19" s="1173"/>
      <c r="AB19" s="1173"/>
      <c r="AC19" s="1173"/>
      <c r="AD19" s="2168"/>
    </row>
    <row r="20" spans="1:30">
      <c r="A20" s="1863" t="s">
        <v>93</v>
      </c>
      <c r="B20" s="2156" t="s">
        <v>16</v>
      </c>
      <c r="C20" s="2174">
        <f>+'Exh D Captl Projects State Fed'!C20</f>
        <v>356</v>
      </c>
      <c r="D20" s="2176"/>
      <c r="E20" s="2174">
        <f>+'Exh D Captl Projects State Fed'!E20</f>
        <v>366</v>
      </c>
      <c r="F20" s="1296"/>
      <c r="G20" s="2174">
        <f>+'Exh D Captl Projects State Fed'!G20</f>
        <v>362.6</v>
      </c>
      <c r="H20" s="1296"/>
      <c r="I20" s="1295">
        <f>ROUND(SUM(G20)-SUM(C20),1)</f>
        <v>6.6</v>
      </c>
      <c r="J20" s="2156"/>
      <c r="K20" s="1295">
        <f>ROUND(SUM(G20)-SUM(E20),1)</f>
        <v>-3.4</v>
      </c>
      <c r="L20" s="2156"/>
      <c r="M20" s="2156"/>
      <c r="N20" s="2156"/>
      <c r="O20" s="2156"/>
      <c r="P20" s="2156"/>
      <c r="Q20" s="2156"/>
      <c r="R20" s="2156"/>
      <c r="S20" s="2156"/>
      <c r="T20" s="2156"/>
      <c r="U20" s="2156"/>
      <c r="V20" s="2156"/>
      <c r="W20" s="2156"/>
      <c r="X20" s="2156"/>
      <c r="Y20" s="1173"/>
      <c r="Z20" s="1173"/>
      <c r="AA20" s="1173"/>
      <c r="AB20" s="1173"/>
      <c r="AC20" s="1173"/>
      <c r="AD20" s="2168"/>
    </row>
    <row r="21" spans="1:30">
      <c r="A21" s="1863" t="s">
        <v>94</v>
      </c>
      <c r="B21" s="2157" t="s">
        <v>16</v>
      </c>
      <c r="C21" s="1403">
        <f>+'Exh D Captl Projects State Fed'!C21</f>
        <v>390</v>
      </c>
      <c r="D21" s="2176"/>
      <c r="E21" s="1403">
        <f>+'Exh D Captl Projects State Fed'!E21</f>
        <v>397</v>
      </c>
      <c r="F21" s="1296"/>
      <c r="G21" s="1403">
        <f>+'Exh D Captl Projects State Fed'!G21</f>
        <v>398</v>
      </c>
      <c r="H21" s="1296"/>
      <c r="I21" s="1214">
        <f t="shared" ref="I21:I26" si="0">ROUND(SUM(G21)-SUM(C21),1)</f>
        <v>8</v>
      </c>
      <c r="J21" s="2178"/>
      <c r="K21" s="1214">
        <f t="shared" ref="K21:K26" si="1">ROUND(SUM(G21)-SUM(E21),1)</f>
        <v>1</v>
      </c>
      <c r="L21" s="2156"/>
      <c r="M21" s="2178"/>
      <c r="N21" s="2156"/>
      <c r="O21" s="2178"/>
      <c r="P21" s="2156"/>
      <c r="Q21" s="2156"/>
      <c r="R21" s="2178"/>
      <c r="S21" s="2156"/>
      <c r="T21" s="2156"/>
      <c r="U21" s="2178"/>
      <c r="V21" s="410"/>
      <c r="W21" s="2178"/>
      <c r="X21" s="2156"/>
      <c r="Y21" s="1173"/>
      <c r="Z21" s="1173"/>
      <c r="AA21" s="1173"/>
      <c r="AB21" s="1173"/>
      <c r="AC21" s="1173"/>
      <c r="AD21" s="2168"/>
    </row>
    <row r="22" spans="1:30">
      <c r="A22" s="1863" t="s">
        <v>95</v>
      </c>
      <c r="B22" s="2156" t="s">
        <v>16</v>
      </c>
      <c r="C22" s="1403">
        <f>+'Exh D Captl Projects State Fed'!C22</f>
        <v>60</v>
      </c>
      <c r="D22" s="2176"/>
      <c r="E22" s="1403">
        <f>+'Exh D Captl Projects State Fed'!E22</f>
        <v>60</v>
      </c>
      <c r="F22" s="1296"/>
      <c r="G22" s="1403">
        <f>+'Exh D Captl Projects State Fed'!G22</f>
        <v>59.6</v>
      </c>
      <c r="H22" s="1296"/>
      <c r="I22" s="1214">
        <f t="shared" si="0"/>
        <v>-0.4</v>
      </c>
      <c r="J22" s="2156"/>
      <c r="K22" s="1214">
        <f t="shared" si="1"/>
        <v>-0.4</v>
      </c>
      <c r="L22" s="2156"/>
      <c r="M22" s="2156"/>
      <c r="N22" s="2156"/>
      <c r="O22" s="2156"/>
      <c r="P22" s="2156"/>
      <c r="Q22" s="2156"/>
      <c r="R22" s="2156"/>
      <c r="S22" s="2156"/>
      <c r="T22" s="2156"/>
      <c r="U22" s="2156"/>
      <c r="V22" s="2156"/>
      <c r="W22" s="2156"/>
      <c r="X22" s="2156"/>
      <c r="Y22" s="1173"/>
      <c r="Z22" s="1173"/>
      <c r="AA22" s="1173"/>
      <c r="AB22" s="1173"/>
      <c r="AC22" s="1173"/>
      <c r="AD22" s="2168"/>
    </row>
    <row r="23" spans="1:30">
      <c r="A23" s="1863" t="s">
        <v>21</v>
      </c>
      <c r="B23" s="2156" t="s">
        <v>16</v>
      </c>
      <c r="C23" s="1214">
        <f>+'Exh D Captl Projects State Fed'!C23+'Exh D Captl Projects State Fed'!M23</f>
        <v>2581</v>
      </c>
      <c r="D23" s="2176"/>
      <c r="E23" s="1214">
        <f>+'Exh D Captl Projects State Fed'!E23+'Exh D Captl Projects State Fed'!O23</f>
        <v>1610</v>
      </c>
      <c r="F23" s="1214"/>
      <c r="G23" s="1214">
        <f>+'Exh D Captl Projects State Fed'!G23+'Exh D Captl Projects State Fed'!Q23</f>
        <v>1608.1000000000001</v>
      </c>
      <c r="H23" s="1214"/>
      <c r="I23" s="1214">
        <f t="shared" si="0"/>
        <v>-972.9</v>
      </c>
      <c r="K23" s="1214">
        <f t="shared" si="1"/>
        <v>-1.9</v>
      </c>
    </row>
    <row r="24" spans="1:30">
      <c r="A24" s="1863" t="s">
        <v>22</v>
      </c>
      <c r="B24" s="2156" t="s">
        <v>16</v>
      </c>
      <c r="C24" s="1214">
        <f>+'Exh D Captl Projects State Fed'!C24+'Exh D Captl Projects State Fed'!M24</f>
        <v>1237</v>
      </c>
      <c r="D24" s="2176"/>
      <c r="E24" s="1214">
        <f>+'Exh D Captl Projects State Fed'!E24+'Exh D Captl Projects State Fed'!O24</f>
        <v>1105</v>
      </c>
      <c r="F24" s="1214"/>
      <c r="G24" s="1214">
        <f>+'Exh D Captl Projects State Fed'!G24+'Exh D Captl Projects State Fed'!Q24</f>
        <v>1104.4000000000001</v>
      </c>
      <c r="H24" s="1214"/>
      <c r="I24" s="1214">
        <f t="shared" si="0"/>
        <v>-132.6</v>
      </c>
      <c r="K24" s="1214">
        <f t="shared" si="1"/>
        <v>-0.6</v>
      </c>
    </row>
    <row r="25" spans="1:30">
      <c r="A25" s="1863" t="s">
        <v>101</v>
      </c>
      <c r="B25" s="2156" t="s">
        <v>16</v>
      </c>
      <c r="C25" s="1296">
        <f>+'Exh D Captl Projects State Fed'!C25+'Exh D Captl Projects State Fed'!M25</f>
        <v>0</v>
      </c>
      <c r="D25" s="2641"/>
      <c r="E25" s="1296">
        <f>+'Exh D Captl Projects State Fed'!E25+'Exh D Captl Projects State Fed'!O25</f>
        <v>0</v>
      </c>
      <c r="F25" s="1214"/>
      <c r="G25" s="1296">
        <f>+'Exh D Captl Projects State Fed'!G25+'Exh D Captl Projects State Fed'!Q25</f>
        <v>0</v>
      </c>
      <c r="H25" s="1214"/>
      <c r="I25" s="1214">
        <f t="shared" si="0"/>
        <v>0</v>
      </c>
      <c r="K25" s="1214">
        <f t="shared" si="1"/>
        <v>0</v>
      </c>
    </row>
    <row r="26" spans="1:30">
      <c r="A26" s="1863" t="s">
        <v>49</v>
      </c>
      <c r="B26" s="2156" t="s">
        <v>16</v>
      </c>
      <c r="C26" s="1372">
        <f>+'Exh D Captl Projects State Fed'!C26+'Exh D Captl Projects State Fed'!M26</f>
        <v>433</v>
      </c>
      <c r="D26" s="2176"/>
      <c r="E26" s="1372">
        <f>+'Exh D Captl Projects State Fed'!E26+'Exh D Captl Projects State Fed'!O26</f>
        <v>576</v>
      </c>
      <c r="F26" s="1214"/>
      <c r="G26" s="1372">
        <f>+'Exh D Captl Projects State Fed'!G26+'Exh D Captl Projects State Fed'!Q26</f>
        <v>473.7</v>
      </c>
      <c r="H26" s="1214"/>
      <c r="I26" s="1214">
        <f t="shared" si="0"/>
        <v>40.700000000000003</v>
      </c>
      <c r="K26" s="1214">
        <f t="shared" si="1"/>
        <v>-102.3</v>
      </c>
    </row>
    <row r="27" spans="1:30" ht="18" customHeight="1">
      <c r="A27" s="2517" t="s">
        <v>114</v>
      </c>
      <c r="B27" s="358" t="s">
        <v>16</v>
      </c>
      <c r="C27" s="425">
        <f>ROUND(SUM(C20:C26),1)</f>
        <v>5057</v>
      </c>
      <c r="D27" s="277"/>
      <c r="E27" s="425">
        <f>ROUND(SUM(E20:E26),1)</f>
        <v>4114</v>
      </c>
      <c r="F27" s="2154"/>
      <c r="G27" s="425">
        <f>ROUND(SUM(G20:G26),1)</f>
        <v>4006.4</v>
      </c>
      <c r="H27" s="2154"/>
      <c r="I27" s="425">
        <f>ROUND(SUM(I20:I26),1)</f>
        <v>-1050.5999999999999</v>
      </c>
      <c r="K27" s="425">
        <f>ROUND(SUM(K20:K26),1)</f>
        <v>-107.6</v>
      </c>
    </row>
    <row r="28" spans="1:30">
      <c r="A28" s="1407"/>
      <c r="B28" s="2156" t="s">
        <v>16</v>
      </c>
      <c r="C28" s="1405"/>
      <c r="D28" s="2176"/>
      <c r="E28" s="1405"/>
      <c r="F28" s="1214"/>
      <c r="G28" s="1405"/>
      <c r="H28" s="1214"/>
      <c r="I28" s="1405" t="s">
        <v>16</v>
      </c>
      <c r="K28" s="1405" t="s">
        <v>16</v>
      </c>
    </row>
    <row r="29" spans="1:30" ht="15.75">
      <c r="A29" s="225" t="s">
        <v>24</v>
      </c>
      <c r="B29" s="2156" t="s">
        <v>16</v>
      </c>
      <c r="C29" s="1214"/>
      <c r="D29" s="2176"/>
      <c r="E29" s="1214"/>
      <c r="F29" s="1214"/>
      <c r="G29" s="1214"/>
      <c r="H29" s="1214"/>
      <c r="I29" s="1214"/>
      <c r="K29" s="1214"/>
    </row>
    <row r="30" spans="1:30">
      <c r="A30" s="1863" t="s">
        <v>97</v>
      </c>
      <c r="B30" s="2156" t="s">
        <v>16</v>
      </c>
      <c r="C30" s="1214">
        <f>+'Exh D Captl Projects State Fed'!C30+'Exh D Captl Projects State Fed'!M30</f>
        <v>1114</v>
      </c>
      <c r="D30" s="2176"/>
      <c r="E30" s="1214">
        <f>+'Exh D Captl Projects State Fed'!E30+'Exh D Captl Projects State Fed'!O30</f>
        <v>722</v>
      </c>
      <c r="F30" s="1214"/>
      <c r="G30" s="1214">
        <f>+'Exh D Captl Projects State Fed'!G30+'Exh D Captl Projects State Fed'!Q30</f>
        <v>725.5</v>
      </c>
      <c r="H30" s="1214"/>
      <c r="I30" s="1214">
        <f>ROUND(SUM(G30)-SUM(C30),1)</f>
        <v>-388.5</v>
      </c>
      <c r="K30" s="1214">
        <f>ROUND(SUM(G30)-SUM(E30),1)</f>
        <v>3.5</v>
      </c>
    </row>
    <row r="31" spans="1:30">
      <c r="A31" s="1863" t="s">
        <v>43</v>
      </c>
      <c r="B31" s="2156" t="s">
        <v>16</v>
      </c>
      <c r="C31" s="1214">
        <f>+'Exh D Captl Projects State Fed'!C31+'Exh D Captl Projects State Fed'!M31</f>
        <v>3408</v>
      </c>
      <c r="D31" s="2641"/>
      <c r="E31" s="1214">
        <f>+'Exh D Captl Projects State Fed'!E31+'Exh D Captl Projects State Fed'!O31</f>
        <v>3137</v>
      </c>
      <c r="F31" s="1214"/>
      <c r="G31" s="1214">
        <f>+'Exh D Captl Projects State Fed'!G31+'Exh D Captl Projects State Fed'!Q31</f>
        <v>3139.8</v>
      </c>
      <c r="H31" s="1214"/>
      <c r="I31" s="1214">
        <f>ROUND(SUM(G31)-SUM(C31),1)</f>
        <v>-268.2</v>
      </c>
      <c r="K31" s="1214">
        <f>ROUND(SUM(G31)-SUM(E31),1)</f>
        <v>2.8</v>
      </c>
    </row>
    <row r="32" spans="1:30">
      <c r="A32" s="1863" t="s">
        <v>102</v>
      </c>
      <c r="B32" s="2156" t="s">
        <v>16</v>
      </c>
      <c r="C32" s="1214">
        <f>+'Exh D Captl Projects State Fed'!C32+'Exh D Captl Projects State Fed'!M32</f>
        <v>987</v>
      </c>
      <c r="D32" s="2176"/>
      <c r="E32" s="1214">
        <f>+'Exh D Captl Projects State Fed'!E32+'Exh D Captl Projects State Fed'!O32</f>
        <v>779</v>
      </c>
      <c r="F32" s="1214"/>
      <c r="G32" s="1214">
        <f>+'Exh D Captl Projects State Fed'!G32+'Exh D Captl Projects State Fed'!Q32</f>
        <v>747.2</v>
      </c>
      <c r="H32" s="1214"/>
      <c r="I32" s="1214">
        <f>ROUND(SUM(G32)-SUM(C32),1)</f>
        <v>-239.8</v>
      </c>
      <c r="K32" s="1214">
        <f>ROUND(SUM(G32)-SUM(E32),1)</f>
        <v>-31.8</v>
      </c>
    </row>
    <row r="33" spans="1:30" ht="18" customHeight="1">
      <c r="A33" s="2517" t="s">
        <v>123</v>
      </c>
      <c r="B33" s="358" t="s">
        <v>16</v>
      </c>
      <c r="C33" s="425">
        <f>ROUND(SUM(C30:C32),1)</f>
        <v>5509</v>
      </c>
      <c r="D33" s="277"/>
      <c r="E33" s="425">
        <f>ROUND(SUM(E30:E32),1)</f>
        <v>4638</v>
      </c>
      <c r="F33" s="2154"/>
      <c r="G33" s="425">
        <f>ROUND(SUM(G30:G32),1)</f>
        <v>4612.5</v>
      </c>
      <c r="H33" s="2154"/>
      <c r="I33" s="425">
        <f>ROUND(SUM(I30:I32),1)</f>
        <v>-896.5</v>
      </c>
      <c r="K33" s="425">
        <f>ROUND(SUM(K30:K32),1)</f>
        <v>-25.5</v>
      </c>
    </row>
    <row r="34" spans="1:30">
      <c r="A34" s="1407"/>
      <c r="B34" s="2156" t="s">
        <v>16</v>
      </c>
      <c r="C34" s="1405"/>
      <c r="D34" s="2176"/>
      <c r="E34" s="1405"/>
      <c r="F34" s="1214"/>
      <c r="G34" s="1405"/>
      <c r="H34" s="1214"/>
      <c r="I34" s="1405"/>
      <c r="K34" s="1405"/>
    </row>
    <row r="35" spans="1:30" ht="15.75">
      <c r="A35" s="225" t="s">
        <v>104</v>
      </c>
      <c r="B35" s="2156"/>
      <c r="C35" s="1214"/>
      <c r="D35" s="2176"/>
      <c r="E35" s="1214"/>
      <c r="F35" s="1214"/>
      <c r="G35" s="1214"/>
      <c r="H35" s="1214"/>
      <c r="I35" s="1214"/>
      <c r="K35" s="1214"/>
    </row>
    <row r="36" spans="1:30" ht="15.75">
      <c r="A36" s="225" t="s">
        <v>105</v>
      </c>
      <c r="B36" s="2156"/>
      <c r="C36" s="1214"/>
      <c r="D36" s="2176"/>
      <c r="E36" s="1214"/>
      <c r="F36" s="1214"/>
      <c r="G36" s="1214"/>
      <c r="H36" s="1214"/>
      <c r="I36" s="1214"/>
      <c r="K36" s="1214"/>
    </row>
    <row r="37" spans="1:30" ht="15.75">
      <c r="A37" s="2517" t="s">
        <v>106</v>
      </c>
      <c r="B37" s="381" t="s">
        <v>16</v>
      </c>
      <c r="C37" s="277">
        <f>ROUND(SUM(C27)-SUM(C33),1)</f>
        <v>-452</v>
      </c>
      <c r="D37" s="277"/>
      <c r="E37" s="277">
        <f>ROUND(SUM(E27)-SUM(E33),1)</f>
        <v>-524</v>
      </c>
      <c r="F37" s="288"/>
      <c r="G37" s="277">
        <f>ROUND(SUM(G27)-SUM(G33),1)</f>
        <v>-606.1</v>
      </c>
      <c r="H37" s="288"/>
      <c r="I37" s="277">
        <f>ROUND(SUM(I27)-SUM(I33),1)</f>
        <v>-154.1</v>
      </c>
      <c r="J37" s="1173"/>
      <c r="K37" s="277">
        <f>ROUND(SUM(K27)-SUM(K33),1)</f>
        <v>-82.1</v>
      </c>
    </row>
    <row r="38" spans="1:30" ht="15.75">
      <c r="B38" s="1173"/>
      <c r="C38" s="1312"/>
      <c r="D38" s="277"/>
      <c r="E38" s="1312"/>
      <c r="F38" s="2165"/>
      <c r="G38" s="1312"/>
      <c r="H38" s="2165"/>
      <c r="I38" s="1312"/>
      <c r="K38" s="1312"/>
    </row>
    <row r="39" spans="1:30" ht="15.75">
      <c r="A39" s="2517" t="str">
        <f>+'Exh D-Governmental  '!A49</f>
        <v>Fund Balances (Deficits) at April 1</v>
      </c>
      <c r="B39" s="2167" t="s">
        <v>16</v>
      </c>
      <c r="C39" s="277">
        <v>-629</v>
      </c>
      <c r="D39" s="277"/>
      <c r="E39" s="277">
        <v>-629</v>
      </c>
      <c r="F39" s="2165"/>
      <c r="G39" s="277">
        <f>'Exh D Captl Projects State Fed'!G39+'Exh D Captl Projects State Fed'!Q39</f>
        <v>-628.70000000000005</v>
      </c>
      <c r="H39" s="2165"/>
      <c r="I39" s="285">
        <f>ROUND(SUM(G39-C39),1)</f>
        <v>0.3</v>
      </c>
      <c r="J39" s="1173"/>
      <c r="K39" s="285">
        <f>ROUND(SUM(G39-E39),1)</f>
        <v>0.3</v>
      </c>
      <c r="L39" s="1173"/>
      <c r="M39" s="1173"/>
      <c r="N39" s="1173"/>
      <c r="O39" s="1173"/>
      <c r="P39" s="1173"/>
      <c r="Q39" s="1173"/>
      <c r="R39" s="1173"/>
      <c r="S39" s="1173"/>
      <c r="T39" s="1173"/>
      <c r="U39" s="1173"/>
      <c r="V39" s="1173"/>
      <c r="W39" s="1173"/>
      <c r="X39" s="1173"/>
      <c r="Y39" s="1173"/>
      <c r="Z39" s="1173"/>
      <c r="AA39" s="1173"/>
      <c r="AB39" s="1173"/>
      <c r="AC39" s="1173"/>
      <c r="AD39" s="2168"/>
    </row>
    <row r="40" spans="1:30" ht="16.5" thickBot="1">
      <c r="A40" s="3099" t="str">
        <f>+'Exh D-Governmental  '!A50</f>
        <v>Fund Balances (Deficits) at October 31</v>
      </c>
      <c r="B40" s="387" t="s">
        <v>16</v>
      </c>
      <c r="C40" s="303">
        <f>ROUND(SUM(C37:C39),1)</f>
        <v>-1081</v>
      </c>
      <c r="D40" s="429"/>
      <c r="E40" s="303">
        <f>ROUND(SUM(E37:E39),1)</f>
        <v>-1153</v>
      </c>
      <c r="F40" s="388"/>
      <c r="G40" s="303">
        <f>ROUND(SUM(G37:G39),1)</f>
        <v>-1234.8</v>
      </c>
      <c r="H40" s="388"/>
      <c r="I40" s="303">
        <f>ROUND(SUM(I37:I39),1)</f>
        <v>-153.80000000000001</v>
      </c>
      <c r="J40" s="1173"/>
      <c r="K40" s="303">
        <f>ROUND(SUM(K37:K39),1)</f>
        <v>-81.8</v>
      </c>
      <c r="L40" s="1173"/>
      <c r="M40" s="1173"/>
      <c r="N40" s="1173"/>
      <c r="O40" s="1173"/>
      <c r="P40" s="1173"/>
      <c r="Q40" s="1173"/>
      <c r="R40" s="1173"/>
      <c r="S40" s="1173"/>
      <c r="T40" s="1173"/>
      <c r="U40" s="1173"/>
      <c r="V40" s="1173"/>
      <c r="W40" s="1173"/>
      <c r="X40" s="1173"/>
      <c r="Y40" s="1173"/>
      <c r="Z40" s="1173"/>
      <c r="AA40" s="1173"/>
      <c r="AB40" s="1173"/>
      <c r="AC40" s="1173"/>
      <c r="AD40" s="2168"/>
    </row>
    <row r="41" spans="1:30" ht="15.75" thickTop="1">
      <c r="B41" s="1173"/>
      <c r="C41" s="1173"/>
      <c r="D41" s="1173"/>
      <c r="E41" s="1173"/>
      <c r="G41" s="2195"/>
    </row>
    <row r="42" spans="1:30">
      <c r="A42" s="2169" t="s">
        <v>1374</v>
      </c>
      <c r="B42" s="1173"/>
      <c r="D42" s="1173"/>
    </row>
    <row r="43" spans="1:30">
      <c r="A43" s="2658" t="s">
        <v>1650</v>
      </c>
      <c r="B43" s="1173"/>
      <c r="D43" s="1173"/>
      <c r="G43" s="2160"/>
      <c r="H43" s="1294"/>
      <c r="I43" s="2160"/>
      <c r="J43" s="1294"/>
      <c r="K43" s="2196"/>
    </row>
    <row r="44" spans="1:30">
      <c r="A44" s="391"/>
      <c r="B44" s="1173"/>
      <c r="D44" s="1173"/>
    </row>
    <row r="45" spans="1:30">
      <c r="A45" s="390"/>
      <c r="B45" s="1173"/>
      <c r="D45" s="1173"/>
    </row>
    <row r="46" spans="1:30">
      <c r="A46" s="390"/>
      <c r="B46" s="1173"/>
      <c r="D46" s="1173"/>
    </row>
    <row r="47" spans="1:30">
      <c r="B47" s="1173"/>
      <c r="D47" s="1173"/>
    </row>
    <row r="48" spans="1:30">
      <c r="B48" s="1173"/>
    </row>
  </sheetData>
  <customSheetViews>
    <customSheetView guid="{BD09DBC2-63A5-4D9C-9B00-4281066E9389}" scale="70" showPageBreaks="1" showGridLines="0" printArea="1">
      <selection activeCell="A7" sqref="A7"/>
      <pageMargins left="0.7" right="0.7" top="0.75" bottom="0.75" header="0.3" footer="0.3"/>
      <pageSetup scale="65" firstPageNumber="13" orientation="landscape" useFirstPageNumber="1" r:id="rId1"/>
      <headerFooter>
        <oddFooter>&amp;C&amp;P</oddFooter>
      </headerFooter>
    </customSheetView>
    <customSheetView guid="{C82E0A7D-2B5B-48FC-A705-3168E651E04C}" scale="70" showPageBreaks="1" showGridLines="0" fitToPage="1" topLeftCell="A10">
      <selection activeCell="A6" sqref="A6"/>
      <pageMargins left="0.75" right="0.75" top="0.75" bottom="0.75" header="0.3" footer="0.25"/>
      <pageSetup scale="68" orientation="landscape" r:id="rId2"/>
      <headerFooter scaleWithDoc="0">
        <oddFooter>&amp;C&amp;8 13</oddFooter>
      </headerFooter>
    </customSheetView>
    <customSheetView guid="{A8B05C3B-0E7E-44A3-A097-AF4C5C09F04E}" scale="70" showPageBreaks="1" showGridLines="0" fitToPage="1" printArea="1" topLeftCell="A10">
      <selection activeCell="A6" sqref="A6"/>
      <pageMargins left="0.75" right="0.75" top="0.75" bottom="0.75" header="0.3" footer="0.25"/>
      <pageSetup scale="68" orientation="landscape" r:id="rId3"/>
      <headerFooter scaleWithDoc="0">
        <oddFooter>&amp;C&amp;8 13</oddFooter>
      </headerFooter>
    </customSheetView>
    <customSheetView guid="{8EE6466D-211E-4E05-9F84-CC0A1C6F79F4}" scale="70" showGridLines="0" fitToPage="1" topLeftCell="A10">
      <selection activeCell="A6" sqref="A6"/>
      <pageMargins left="0.75" right="0.75" top="0.75" bottom="0.75" header="0.3" footer="0.25"/>
      <pageSetup scale="73" orientation="landscape" r:id="rId4"/>
      <headerFooter scaleWithDoc="0">
        <oddFooter>&amp;C&amp;8 13</oddFooter>
      </headerFooter>
    </customSheetView>
    <customSheetView guid="{4735AAE3-27B4-4549-AAB4-50ACA997F5F5}" scale="70" showPageBreaks="1" showGridLines="0" fitToPage="1" topLeftCell="A4">
      <selection activeCell="C43" sqref="C43"/>
      <pageMargins left="0.75" right="0.75" top="0.75" bottom="0.75" header="0.3" footer="0.25"/>
      <pageSetup scale="68" orientation="landscape" r:id="rId5"/>
      <headerFooter scaleWithDoc="0">
        <oddFooter>&amp;C&amp;8 13</oddFooter>
      </headerFooter>
    </customSheetView>
    <customSheetView guid="{80622567-647A-4891-B8EE-6B9E2C4DAC44}" scale="70" showPageBreaks="1" showGridLines="0" fitToPage="1" printArea="1">
      <selection activeCell="H80" sqref="H80"/>
      <pageMargins left="0.75" right="0.75" top="0.75" bottom="0.75" header="0.3" footer="0.25"/>
      <pageSetup scale="68" orientation="landscape" r:id="rId6"/>
      <headerFooter scaleWithDoc="0">
        <oddFooter>&amp;C&amp;8 13</oddFooter>
      </headerFooter>
    </customSheetView>
    <customSheetView guid="{A97EE6C3-4DA8-41BD-BE43-F596EFCB43CA}" scale="70" showPageBreaks="1" showGridLines="0" fitToPage="1" printArea="1" topLeftCell="A10">
      <selection activeCell="I23" sqref="I23"/>
      <pageMargins left="0.75" right="0.75" top="0.75" bottom="0.75" header="0.3" footer="0.25"/>
      <pageSetup scale="68" orientation="landscape" r:id="rId7"/>
      <headerFooter scaleWithDoc="0">
        <oddFooter>&amp;C&amp;8 13</oddFooter>
      </headerFooter>
    </customSheetView>
    <customSheetView guid="{90B76C5A-2FC4-40F0-8436-3E4F075A4887}" scale="70" showPageBreaks="1" showGridLines="0" fitToPage="1" printArea="1">
      <selection activeCell="H80" sqref="H80"/>
      <pageMargins left="0.75" right="0.75" top="0.75" bottom="0.75" header="0.3" footer="0.25"/>
      <pageSetup scale="68" orientation="landscape" r:id="rId8"/>
      <headerFooter scaleWithDoc="0">
        <oddFooter>&amp;C&amp;8 13</oddFooter>
      </headerFooter>
    </customSheetView>
  </customSheetViews>
  <pageMargins left="0.7" right="0.7" top="0.75" bottom="0.75" header="0.3" footer="0.3"/>
  <pageSetup scale="65" firstPageNumber="13" orientation="landscape" useFirstPageNumber="1" r:id="rId9"/>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AV51"/>
  <sheetViews>
    <sheetView showGridLines="0" zoomScale="60" zoomScaleNormal="70" workbookViewId="0"/>
  </sheetViews>
  <sheetFormatPr defaultRowHeight="15"/>
  <cols>
    <col min="1" max="1" width="51.77734375" style="2164" customWidth="1"/>
    <col min="2" max="2" width="2.109375" style="2168" customWidth="1"/>
    <col min="3" max="3" width="15.77734375" style="806" customWidth="1"/>
    <col min="4" max="4" width="1.109375" style="2168" customWidth="1"/>
    <col min="5" max="5" width="15.77734375" style="806" customWidth="1"/>
    <col min="6" max="6" width="1.109375" style="2168" customWidth="1"/>
    <col min="7" max="7" width="15.77734375" style="2168" customWidth="1"/>
    <col min="8" max="8" width="0.6640625" style="2168" customWidth="1"/>
    <col min="9" max="9" width="19.44140625" style="2168" customWidth="1"/>
    <col min="10" max="10" width="1.109375" style="1173" customWidth="1"/>
    <col min="11" max="11" width="19.44140625" style="2168" customWidth="1"/>
    <col min="12" max="12" width="1.33203125" style="2168" customWidth="1"/>
    <col min="13" max="13" width="15.77734375" style="1173" customWidth="1"/>
    <col min="14" max="14" width="1.21875" style="1173" customWidth="1"/>
    <col min="15" max="15" width="15.77734375" style="1173" customWidth="1"/>
    <col min="16" max="16" width="1.21875" style="1173" customWidth="1"/>
    <col min="17" max="17" width="15.77734375" style="1173" customWidth="1"/>
    <col min="18" max="18" width="1.33203125" style="1173" customWidth="1"/>
    <col min="19" max="19" width="15.77734375" style="1173" customWidth="1"/>
    <col min="20" max="20" width="1.88671875" style="1173" customWidth="1"/>
    <col min="21" max="21" width="15.77734375" style="806" customWidth="1"/>
    <col min="22" max="22" width="0.6640625" style="1173" customWidth="1"/>
    <col min="23" max="23" width="15.77734375" style="806" customWidth="1"/>
    <col min="24" max="24" width="1.33203125" style="1173" customWidth="1"/>
    <col min="25" max="25" width="15.77734375" style="1173" customWidth="1"/>
    <col min="26" max="26" width="1" style="1173" customWidth="1"/>
    <col min="27" max="27" width="15.77734375" style="1173" customWidth="1"/>
    <col min="28" max="28" width="3.6640625" style="2168" bestFit="1" customWidth="1"/>
    <col min="29" max="33" width="8.88671875" style="2168"/>
    <col min="34" max="16384" width="8.88671875" style="2164"/>
  </cols>
  <sheetData>
    <row r="1" spans="1:48">
      <c r="A1" s="2170" t="s">
        <v>1322</v>
      </c>
    </row>
    <row r="2" spans="1:48" ht="16.5">
      <c r="A2" s="392"/>
      <c r="B2" s="394"/>
      <c r="C2" s="800"/>
      <c r="D2" s="394"/>
      <c r="E2" s="800"/>
      <c r="F2" s="394"/>
      <c r="G2" s="394"/>
      <c r="H2" s="394"/>
      <c r="I2" s="394"/>
      <c r="J2" s="393"/>
      <c r="K2" s="394"/>
      <c r="L2" s="394"/>
      <c r="M2" s="393"/>
      <c r="N2" s="393"/>
      <c r="O2" s="393"/>
      <c r="P2" s="393"/>
      <c r="Q2" s="393"/>
      <c r="R2" s="393"/>
      <c r="S2" s="393"/>
      <c r="T2" s="393"/>
      <c r="U2" s="2634"/>
      <c r="V2" s="393"/>
      <c r="W2" s="2634"/>
      <c r="X2" s="393"/>
      <c r="Y2" s="393"/>
      <c r="Z2" s="393"/>
      <c r="AA2" s="393"/>
    </row>
    <row r="3" spans="1:48" ht="21" customHeight="1">
      <c r="A3" s="398" t="s">
        <v>0</v>
      </c>
      <c r="B3" s="355"/>
      <c r="C3" s="802"/>
      <c r="D3" s="349"/>
      <c r="E3" s="802"/>
      <c r="F3" s="349"/>
      <c r="G3" s="349"/>
      <c r="H3" s="349"/>
      <c r="I3" s="349"/>
      <c r="J3" s="363"/>
      <c r="K3" s="349"/>
      <c r="L3" s="349"/>
      <c r="M3" s="363"/>
      <c r="N3" s="363"/>
      <c r="O3" s="363"/>
      <c r="P3" s="363"/>
      <c r="Q3" s="363"/>
      <c r="R3" s="363"/>
      <c r="S3" s="1872"/>
      <c r="T3" s="363"/>
      <c r="U3" s="1872" t="s">
        <v>87</v>
      </c>
      <c r="V3" s="363"/>
      <c r="W3" s="2636"/>
      <c r="X3" s="363"/>
      <c r="Y3" s="363"/>
      <c r="Z3" s="363"/>
      <c r="AA3" s="2637"/>
    </row>
    <row r="4" spans="1:48" ht="18">
      <c r="A4" s="398" t="s">
        <v>86</v>
      </c>
      <c r="B4" s="355"/>
      <c r="C4" s="802"/>
      <c r="D4" s="349"/>
      <c r="E4" s="802"/>
      <c r="F4" s="349"/>
      <c r="G4" s="349"/>
      <c r="H4" s="349"/>
      <c r="I4" s="349"/>
      <c r="J4" s="363"/>
      <c r="K4" s="349"/>
      <c r="L4" s="349"/>
      <c r="M4" s="363"/>
      <c r="N4" s="363"/>
      <c r="O4" s="363"/>
      <c r="P4" s="363"/>
      <c r="Q4" s="363"/>
      <c r="R4" s="363"/>
      <c r="S4" s="1873"/>
      <c r="T4" s="363"/>
      <c r="U4" s="1873" t="s">
        <v>108</v>
      </c>
      <c r="V4" s="363"/>
      <c r="W4" s="2636"/>
      <c r="X4" s="363"/>
      <c r="Y4" s="363"/>
      <c r="Z4" s="363"/>
      <c r="AA4" s="2638"/>
    </row>
    <row r="5" spans="1:48" ht="18.95" customHeight="1">
      <c r="A5" s="3352" t="s">
        <v>1176</v>
      </c>
      <c r="B5" s="3353"/>
      <c r="C5" s="3353"/>
      <c r="D5" s="3353"/>
      <c r="E5" s="3353"/>
      <c r="F5" s="349"/>
      <c r="G5" s="349"/>
      <c r="H5" s="349"/>
      <c r="I5" s="349"/>
      <c r="J5" s="363"/>
      <c r="K5" s="349"/>
      <c r="L5" s="349"/>
      <c r="M5" s="363"/>
      <c r="N5" s="363"/>
      <c r="O5" s="363"/>
      <c r="P5" s="363"/>
      <c r="Q5" s="363"/>
      <c r="R5" s="363"/>
      <c r="S5" s="363"/>
      <c r="T5" s="363"/>
      <c r="U5" s="2636"/>
      <c r="V5" s="363"/>
      <c r="W5" s="2636"/>
      <c r="X5" s="363"/>
      <c r="Y5" s="363"/>
      <c r="Z5" s="363"/>
      <c r="AA5" s="363"/>
    </row>
    <row r="6" spans="1:48" ht="18.95" customHeight="1">
      <c r="A6" s="3304" t="str">
        <f>'Exh D-Governmental  '!A6</f>
        <v>FOR SEVEN MONTHS ENDED OCTOBER 31, 2014</v>
      </c>
      <c r="B6" s="354"/>
      <c r="C6" s="802"/>
      <c r="D6" s="349"/>
      <c r="E6" s="802"/>
      <c r="F6" s="349"/>
      <c r="G6" s="349"/>
      <c r="H6" s="349"/>
      <c r="I6" s="349"/>
      <c r="J6" s="363"/>
      <c r="K6" s="349"/>
      <c r="L6" s="349"/>
      <c r="M6" s="363"/>
      <c r="N6" s="363"/>
      <c r="O6" s="363"/>
      <c r="P6" s="363"/>
      <c r="Q6" s="363"/>
      <c r="R6" s="363"/>
      <c r="S6" s="363"/>
      <c r="T6" s="363"/>
      <c r="U6" s="2636"/>
      <c r="V6" s="363"/>
      <c r="W6" s="2636"/>
      <c r="X6" s="363"/>
      <c r="Y6" s="363"/>
      <c r="Z6" s="363"/>
      <c r="AA6" s="363"/>
      <c r="AB6" s="349"/>
      <c r="AC6" s="363"/>
      <c r="AD6" s="363"/>
      <c r="AE6" s="363"/>
      <c r="AF6" s="363"/>
      <c r="AG6" s="363"/>
      <c r="AH6" s="363"/>
      <c r="AI6" s="363"/>
      <c r="AJ6" s="363"/>
      <c r="AK6" s="363"/>
      <c r="AL6" s="363"/>
      <c r="AM6" s="363"/>
      <c r="AN6" s="363"/>
      <c r="AO6" s="363"/>
      <c r="AP6" s="363"/>
      <c r="AQ6" s="1173"/>
      <c r="AR6" s="1173"/>
      <c r="AS6" s="1173"/>
      <c r="AT6" s="1173"/>
      <c r="AU6" s="1173"/>
      <c r="AV6" s="2168"/>
    </row>
    <row r="7" spans="1:48" ht="18">
      <c r="A7" s="398" t="s">
        <v>1199</v>
      </c>
      <c r="B7" s="355"/>
      <c r="C7" s="802"/>
      <c r="D7" s="349"/>
      <c r="E7" s="802"/>
      <c r="F7" s="349"/>
      <c r="G7" s="349"/>
      <c r="H7" s="349"/>
      <c r="I7" s="349"/>
      <c r="J7" s="363"/>
      <c r="K7" s="349"/>
      <c r="L7" s="349"/>
      <c r="M7" s="363"/>
      <c r="N7" s="363"/>
      <c r="O7" s="363"/>
      <c r="P7" s="363"/>
      <c r="Q7" s="363"/>
      <c r="R7" s="363"/>
      <c r="S7" s="363"/>
      <c r="T7" s="363"/>
      <c r="U7" s="2636"/>
      <c r="V7" s="363"/>
      <c r="W7" s="2636"/>
      <c r="X7" s="363"/>
      <c r="Y7" s="363"/>
      <c r="Z7" s="363"/>
      <c r="AA7" s="363"/>
    </row>
    <row r="8" spans="1:48" ht="18">
      <c r="A8" s="400"/>
      <c r="B8" s="355"/>
      <c r="C8" s="802"/>
      <c r="D8" s="349"/>
      <c r="E8" s="802"/>
      <c r="F8" s="349"/>
      <c r="G8" s="349"/>
      <c r="H8" s="349"/>
      <c r="I8" s="349"/>
      <c r="J8" s="363"/>
      <c r="K8" s="349"/>
      <c r="L8" s="349"/>
      <c r="M8" s="363"/>
      <c r="N8" s="363"/>
      <c r="O8" s="363"/>
      <c r="P8" s="363"/>
      <c r="Q8" s="363"/>
      <c r="R8" s="363"/>
      <c r="S8" s="363"/>
      <c r="T8" s="363"/>
      <c r="U8" s="2636"/>
      <c r="V8" s="363"/>
      <c r="W8" s="2636"/>
      <c r="X8" s="363"/>
      <c r="Y8" s="363"/>
      <c r="Z8" s="363"/>
      <c r="AA8" s="363"/>
    </row>
    <row r="9" spans="1:48">
      <c r="A9" s="357"/>
      <c r="B9" s="349"/>
      <c r="C9" s="803"/>
      <c r="D9" s="349"/>
      <c r="E9" s="803"/>
      <c r="F9" s="349"/>
      <c r="G9" s="349"/>
      <c r="H9" s="349"/>
      <c r="I9" s="349"/>
      <c r="J9" s="363"/>
      <c r="K9" s="349"/>
      <c r="L9" s="349"/>
      <c r="M9" s="363"/>
      <c r="N9" s="363"/>
      <c r="O9" s="363"/>
      <c r="P9" s="363"/>
      <c r="Q9" s="363"/>
      <c r="R9" s="363"/>
      <c r="S9" s="363"/>
      <c r="T9" s="363"/>
      <c r="U9" s="2636"/>
      <c r="V9" s="363"/>
      <c r="W9" s="2636"/>
      <c r="X9" s="363"/>
      <c r="Y9" s="363"/>
      <c r="Z9" s="363"/>
      <c r="AA9" s="363"/>
    </row>
    <row r="10" spans="1:48">
      <c r="A10" s="357"/>
      <c r="B10" s="349"/>
      <c r="C10" s="802"/>
      <c r="D10" s="355"/>
      <c r="E10" s="802"/>
      <c r="F10" s="355"/>
      <c r="G10" s="355"/>
      <c r="H10" s="355"/>
      <c r="I10" s="355"/>
      <c r="J10" s="354"/>
      <c r="K10" s="355"/>
      <c r="L10" s="355"/>
      <c r="M10" s="802"/>
      <c r="N10" s="355"/>
      <c r="O10" s="802"/>
      <c r="P10" s="355"/>
      <c r="Q10" s="355"/>
      <c r="R10" s="355"/>
      <c r="S10" s="355"/>
      <c r="T10" s="354"/>
      <c r="U10" s="2237"/>
      <c r="V10" s="354"/>
      <c r="W10" s="2237"/>
      <c r="X10" s="354"/>
      <c r="Y10" s="354"/>
      <c r="Z10" s="354"/>
      <c r="AA10" s="354"/>
      <c r="AB10" s="2187"/>
    </row>
    <row r="11" spans="1:48" ht="15.75">
      <c r="A11" s="1407"/>
      <c r="B11" s="358"/>
      <c r="C11" s="3355" t="s">
        <v>1559</v>
      </c>
      <c r="D11" s="3355"/>
      <c r="E11" s="3355"/>
      <c r="F11" s="3355"/>
      <c r="G11" s="3355"/>
      <c r="H11" s="3355"/>
      <c r="I11" s="3355"/>
      <c r="J11" s="2629"/>
      <c r="K11" s="2629"/>
      <c r="L11" s="412"/>
      <c r="M11" s="3355" t="s">
        <v>1560</v>
      </c>
      <c r="N11" s="3355"/>
      <c r="O11" s="3355"/>
      <c r="P11" s="3355"/>
      <c r="Q11" s="3355"/>
      <c r="R11" s="3355"/>
      <c r="S11" s="3355"/>
      <c r="T11" s="2643"/>
      <c r="U11" s="3223"/>
      <c r="V11" s="3223"/>
      <c r="W11" s="403"/>
      <c r="X11" s="403"/>
      <c r="Y11" s="403"/>
      <c r="Z11" s="403"/>
      <c r="AA11" s="403"/>
      <c r="AB11" s="2187"/>
    </row>
    <row r="12" spans="1:48" ht="15.75">
      <c r="A12" s="1407"/>
      <c r="B12" s="358"/>
      <c r="C12" s="808"/>
      <c r="D12" s="359"/>
      <c r="E12" s="808"/>
      <c r="F12" s="359"/>
      <c r="G12" s="359"/>
      <c r="H12" s="359"/>
      <c r="I12" s="413" t="s">
        <v>88</v>
      </c>
      <c r="J12" s="413"/>
      <c r="K12" s="413" t="s">
        <v>88</v>
      </c>
      <c r="L12" s="2171"/>
      <c r="M12" s="808"/>
      <c r="N12" s="359"/>
      <c r="O12" s="808"/>
      <c r="P12" s="359"/>
      <c r="Q12" s="359"/>
      <c r="R12" s="359"/>
      <c r="S12" s="413" t="s">
        <v>88</v>
      </c>
      <c r="T12" s="358"/>
      <c r="U12" s="413" t="s">
        <v>88</v>
      </c>
      <c r="V12" s="358"/>
      <c r="W12" s="2255"/>
      <c r="X12" s="358"/>
      <c r="Y12" s="358"/>
      <c r="Z12" s="358"/>
      <c r="AA12" s="413"/>
    </row>
    <row r="13" spans="1:48" ht="15.75">
      <c r="A13" s="1407"/>
      <c r="B13" s="358"/>
      <c r="C13" s="808"/>
      <c r="D13" s="359"/>
      <c r="E13" s="808"/>
      <c r="F13" s="359"/>
      <c r="G13" s="359"/>
      <c r="H13" s="359"/>
      <c r="I13" s="360" t="s">
        <v>1206</v>
      </c>
      <c r="J13" s="408"/>
      <c r="K13" s="360" t="s">
        <v>1206</v>
      </c>
      <c r="L13" s="2171"/>
      <c r="M13" s="808"/>
      <c r="N13" s="359"/>
      <c r="O13" s="808"/>
      <c r="P13" s="359"/>
      <c r="Q13" s="359"/>
      <c r="R13" s="359"/>
      <c r="S13" s="360" t="s">
        <v>1206</v>
      </c>
      <c r="T13" s="358"/>
      <c r="U13" s="360" t="s">
        <v>1206</v>
      </c>
      <c r="V13" s="358"/>
      <c r="W13" s="2255"/>
      <c r="X13" s="358"/>
      <c r="Y13" s="358"/>
      <c r="Z13" s="358"/>
      <c r="AA13" s="408"/>
    </row>
    <row r="14" spans="1:48" ht="15.75" customHeight="1">
      <c r="A14" s="1407"/>
      <c r="B14" s="358"/>
      <c r="C14" s="361" t="s">
        <v>1490</v>
      </c>
      <c r="D14" s="2164"/>
      <c r="E14" s="361" t="s">
        <v>1491</v>
      </c>
      <c r="F14" s="359"/>
      <c r="G14" s="359"/>
      <c r="H14" s="359"/>
      <c r="I14" s="360" t="s">
        <v>89</v>
      </c>
      <c r="J14" s="408"/>
      <c r="K14" s="360" t="s">
        <v>89</v>
      </c>
      <c r="L14" s="2171"/>
      <c r="M14" s="361" t="s">
        <v>1490</v>
      </c>
      <c r="N14" s="2164"/>
      <c r="O14" s="361" t="s">
        <v>1491</v>
      </c>
      <c r="P14" s="359"/>
      <c r="Q14" s="359"/>
      <c r="R14" s="359"/>
      <c r="S14" s="360" t="s">
        <v>89</v>
      </c>
      <c r="T14" s="409"/>
      <c r="U14" s="360" t="s">
        <v>89</v>
      </c>
      <c r="V14" s="1412"/>
      <c r="W14" s="407"/>
      <c r="X14" s="358"/>
      <c r="Y14" s="358"/>
      <c r="Z14" s="358"/>
      <c r="AA14" s="408"/>
    </row>
    <row r="15" spans="1:48" ht="15.75" customHeight="1">
      <c r="A15" s="1407"/>
      <c r="B15" s="358"/>
      <c r="C15" s="360" t="s">
        <v>1536</v>
      </c>
      <c r="D15" s="359"/>
      <c r="E15" s="360" t="s">
        <v>1536</v>
      </c>
      <c r="F15" s="359"/>
      <c r="G15" s="359"/>
      <c r="H15" s="359"/>
      <c r="I15" s="360" t="s">
        <v>1490</v>
      </c>
      <c r="J15" s="407"/>
      <c r="K15" s="361" t="s">
        <v>1491</v>
      </c>
      <c r="L15" s="2256"/>
      <c r="M15" s="360" t="s">
        <v>1536</v>
      </c>
      <c r="N15" s="359"/>
      <c r="O15" s="360" t="s">
        <v>1536</v>
      </c>
      <c r="P15" s="359"/>
      <c r="Q15" s="359"/>
      <c r="R15" s="359"/>
      <c r="S15" s="360" t="s">
        <v>1490</v>
      </c>
      <c r="T15" s="409"/>
      <c r="U15" s="361" t="s">
        <v>1491</v>
      </c>
      <c r="V15" s="358"/>
      <c r="W15" s="408"/>
      <c r="X15" s="358"/>
      <c r="Y15" s="358"/>
      <c r="Z15" s="358"/>
      <c r="AA15" s="407"/>
    </row>
    <row r="16" spans="1:48" ht="15.75">
      <c r="A16" s="1407"/>
      <c r="B16" s="358"/>
      <c r="C16" s="360" t="s">
        <v>1537</v>
      </c>
      <c r="D16" s="359"/>
      <c r="E16" s="360" t="s">
        <v>1538</v>
      </c>
      <c r="F16" s="359"/>
      <c r="G16" s="361" t="s">
        <v>88</v>
      </c>
      <c r="H16" s="359"/>
      <c r="I16" s="360" t="s">
        <v>90</v>
      </c>
      <c r="J16" s="408"/>
      <c r="K16" s="360" t="s">
        <v>90</v>
      </c>
      <c r="L16" s="2171"/>
      <c r="M16" s="360" t="s">
        <v>1537</v>
      </c>
      <c r="N16" s="359"/>
      <c r="O16" s="360" t="s">
        <v>1538</v>
      </c>
      <c r="P16" s="359"/>
      <c r="Q16" s="361" t="s">
        <v>88</v>
      </c>
      <c r="R16" s="359"/>
      <c r="S16" s="360" t="s">
        <v>90</v>
      </c>
      <c r="T16" s="408"/>
      <c r="U16" s="360" t="s">
        <v>90</v>
      </c>
      <c r="V16" s="358"/>
      <c r="W16" s="408"/>
      <c r="X16" s="358"/>
      <c r="Y16" s="407"/>
      <c r="Z16" s="358"/>
      <c r="AA16" s="408"/>
    </row>
    <row r="17" spans="1:48">
      <c r="A17" s="362"/>
      <c r="B17" s="363"/>
      <c r="C17" s="364"/>
      <c r="D17" s="349"/>
      <c r="E17" s="364"/>
      <c r="F17" s="349"/>
      <c r="G17" s="364"/>
      <c r="H17" s="349"/>
      <c r="I17" s="364"/>
      <c r="J17" s="363"/>
      <c r="K17" s="364"/>
      <c r="L17" s="2172"/>
      <c r="M17" s="364"/>
      <c r="N17" s="349"/>
      <c r="O17" s="364"/>
      <c r="P17" s="349"/>
      <c r="Q17" s="364"/>
      <c r="R17" s="349"/>
      <c r="S17" s="364"/>
      <c r="T17" s="363"/>
      <c r="U17" s="364"/>
      <c r="V17" s="363"/>
      <c r="W17" s="363"/>
      <c r="X17" s="363"/>
      <c r="Y17" s="363"/>
      <c r="Z17" s="363"/>
      <c r="AA17" s="363"/>
    </row>
    <row r="18" spans="1:48" ht="15.75">
      <c r="A18" s="225" t="s">
        <v>15</v>
      </c>
      <c r="B18" s="2156"/>
      <c r="C18" s="1294"/>
      <c r="D18" s="1294"/>
      <c r="E18" s="1294"/>
      <c r="F18" s="1294"/>
      <c r="G18" s="1857" t="s">
        <v>16</v>
      </c>
      <c r="H18" s="1294"/>
      <c r="I18" s="1294"/>
      <c r="J18" s="2156"/>
      <c r="K18" s="1294"/>
      <c r="L18" s="2173"/>
      <c r="M18" s="1294"/>
      <c r="N18" s="1294"/>
      <c r="O18" s="1294"/>
      <c r="P18" s="1294"/>
      <c r="Q18" s="1294" t="s">
        <v>16</v>
      </c>
      <c r="R18" s="1294"/>
      <c r="S18" s="1294"/>
      <c r="T18" s="2156"/>
      <c r="U18" s="1294"/>
      <c r="V18" s="2156"/>
      <c r="W18" s="2156"/>
      <c r="X18" s="2156"/>
      <c r="Y18" s="2156"/>
      <c r="Z18" s="2156"/>
      <c r="AA18" s="2156"/>
    </row>
    <row r="19" spans="1:48">
      <c r="A19" s="1863" t="s">
        <v>91</v>
      </c>
      <c r="B19" s="2157" t="s">
        <v>16</v>
      </c>
      <c r="C19" s="1295"/>
      <c r="D19" s="1297"/>
      <c r="E19" s="1295"/>
      <c r="F19" s="1297"/>
      <c r="G19" s="1295"/>
      <c r="H19" s="1297"/>
      <c r="I19" s="1295"/>
      <c r="J19" s="2244"/>
      <c r="K19" s="1295"/>
      <c r="L19" s="2188"/>
      <c r="M19" s="1295"/>
      <c r="N19" s="1295"/>
      <c r="O19" s="1295"/>
      <c r="P19" s="1295"/>
      <c r="Q19" s="2189"/>
      <c r="R19" s="1297"/>
      <c r="S19" s="1295"/>
      <c r="T19" s="1297"/>
      <c r="U19" s="1295"/>
      <c r="V19" s="2244"/>
      <c r="W19" s="2244"/>
      <c r="X19" s="2244"/>
      <c r="Y19" s="2644"/>
      <c r="Z19" s="2242"/>
      <c r="AA19" s="2244"/>
      <c r="AB19" s="2156"/>
      <c r="AC19" s="2156"/>
      <c r="AD19" s="2156"/>
      <c r="AE19" s="2156"/>
      <c r="AF19" s="2156"/>
      <c r="AG19" s="2156"/>
      <c r="AH19" s="2156"/>
      <c r="AI19" s="2156"/>
      <c r="AJ19" s="2156"/>
      <c r="AK19" s="2156"/>
      <c r="AL19" s="2156"/>
      <c r="AM19" s="2156"/>
      <c r="AN19" s="2156"/>
      <c r="AO19" s="2156"/>
      <c r="AP19" s="2156"/>
      <c r="AQ19" s="1173"/>
      <c r="AR19" s="1173"/>
      <c r="AS19" s="1173"/>
      <c r="AT19" s="1173"/>
      <c r="AU19" s="1173"/>
      <c r="AV19" s="2168"/>
    </row>
    <row r="20" spans="1:48">
      <c r="A20" s="1863" t="s">
        <v>93</v>
      </c>
      <c r="B20" s="2156" t="s">
        <v>16</v>
      </c>
      <c r="C20" s="2174">
        <v>356</v>
      </c>
      <c r="D20" s="1295"/>
      <c r="E20" s="2174">
        <v>366</v>
      </c>
      <c r="F20" s="1295"/>
      <c r="G20" s="2174">
        <f>+' Exhibit I State'!AF22</f>
        <v>362.6</v>
      </c>
      <c r="H20" s="1295"/>
      <c r="I20" s="1295">
        <f t="shared" ref="I20:I26" si="0">ROUND(SUM(G20)-SUM(C20),1)</f>
        <v>6.6</v>
      </c>
      <c r="J20" s="2244"/>
      <c r="K20" s="1295">
        <f t="shared" ref="K20:K26" si="1">ROUND(SUM(G20)-SUM(E20),1)</f>
        <v>-3.4</v>
      </c>
      <c r="L20" s="2188"/>
      <c r="M20" s="2174">
        <v>0</v>
      </c>
      <c r="N20" s="1298"/>
      <c r="O20" s="2174">
        <v>0</v>
      </c>
      <c r="P20" s="1298"/>
      <c r="Q20" s="2174">
        <v>0</v>
      </c>
      <c r="R20" s="1298"/>
      <c r="S20" s="1295">
        <f t="shared" ref="S20:S26" si="2">ROUND(SUM(Q20)-SUM(M20),1)</f>
        <v>0</v>
      </c>
      <c r="T20" s="2244"/>
      <c r="U20" s="1295">
        <f t="shared" ref="U20:U26" si="3">ROUND(SUM(Q20)-SUM(O20),1)</f>
        <v>0</v>
      </c>
      <c r="V20" s="2645"/>
      <c r="W20" s="2243"/>
      <c r="X20" s="2645"/>
      <c r="Y20" s="2243"/>
      <c r="Z20" s="2645"/>
      <c r="AA20" s="2244"/>
      <c r="AB20" s="2156"/>
      <c r="AC20" s="2156"/>
      <c r="AD20" s="2156"/>
      <c r="AE20" s="2156"/>
      <c r="AF20" s="2156"/>
      <c r="AG20" s="2156"/>
      <c r="AH20" s="2156"/>
      <c r="AI20" s="2156"/>
      <c r="AJ20" s="2156"/>
      <c r="AK20" s="2156"/>
      <c r="AL20" s="2156"/>
      <c r="AM20" s="2156"/>
      <c r="AN20" s="2156"/>
      <c r="AO20" s="2156"/>
      <c r="AP20" s="2156"/>
      <c r="AQ20" s="1173"/>
      <c r="AR20" s="1173"/>
      <c r="AS20" s="1173"/>
      <c r="AT20" s="1173"/>
      <c r="AU20" s="1173"/>
      <c r="AV20" s="2168"/>
    </row>
    <row r="21" spans="1:48">
      <c r="A21" s="1863" t="s">
        <v>94</v>
      </c>
      <c r="B21" s="2157" t="s">
        <v>16</v>
      </c>
      <c r="C21" s="1296">
        <v>390</v>
      </c>
      <c r="D21" s="1372"/>
      <c r="E21" s="1296">
        <v>397</v>
      </c>
      <c r="F21" s="1372"/>
      <c r="G21" s="1403">
        <f>+' Exhibit I State'!AF27</f>
        <v>398</v>
      </c>
      <c r="H21" s="1372"/>
      <c r="I21" s="1214">
        <f t="shared" si="0"/>
        <v>8</v>
      </c>
      <c r="J21" s="2176"/>
      <c r="K21" s="1214">
        <f t="shared" si="1"/>
        <v>1</v>
      </c>
      <c r="L21" s="2190"/>
      <c r="M21" s="1403">
        <v>0</v>
      </c>
      <c r="N21" s="1296"/>
      <c r="O21" s="1403">
        <v>0</v>
      </c>
      <c r="P21" s="1296"/>
      <c r="Q21" s="1403">
        <v>0</v>
      </c>
      <c r="R21" s="1296"/>
      <c r="S21" s="1214">
        <f t="shared" si="2"/>
        <v>0</v>
      </c>
      <c r="T21" s="1372"/>
      <c r="U21" s="1214">
        <f t="shared" si="3"/>
        <v>0</v>
      </c>
      <c r="V21" s="2180"/>
      <c r="W21" s="2247"/>
      <c r="X21" s="2180"/>
      <c r="Y21" s="2247"/>
      <c r="Z21" s="2180"/>
      <c r="AA21" s="2176"/>
      <c r="AB21" s="2178"/>
      <c r="AC21" s="2156"/>
      <c r="AD21" s="2156"/>
      <c r="AE21" s="2178"/>
      <c r="AF21" s="2156"/>
      <c r="AG21" s="2178"/>
      <c r="AH21" s="2156"/>
      <c r="AI21" s="2156"/>
      <c r="AJ21" s="2178"/>
      <c r="AK21" s="2156"/>
      <c r="AL21" s="2156"/>
      <c r="AM21" s="2178"/>
      <c r="AN21" s="410"/>
      <c r="AO21" s="2178"/>
      <c r="AP21" s="2156"/>
      <c r="AQ21" s="1173"/>
      <c r="AR21" s="1173"/>
      <c r="AS21" s="1173"/>
      <c r="AT21" s="1173"/>
      <c r="AU21" s="1173"/>
      <c r="AV21" s="2168"/>
    </row>
    <row r="22" spans="1:48">
      <c r="A22" s="1863" t="s">
        <v>95</v>
      </c>
      <c r="B22" s="2156" t="s">
        <v>16</v>
      </c>
      <c r="C22" s="1403">
        <v>60</v>
      </c>
      <c r="D22" s="1214"/>
      <c r="E22" s="1403">
        <v>60</v>
      </c>
      <c r="F22" s="1214"/>
      <c r="G22" s="1403">
        <f>+' Exhibit I State'!AF30</f>
        <v>59.6</v>
      </c>
      <c r="H22" s="1214"/>
      <c r="I22" s="1214">
        <f t="shared" si="0"/>
        <v>-0.4</v>
      </c>
      <c r="J22" s="2176"/>
      <c r="K22" s="1214">
        <f t="shared" si="1"/>
        <v>-0.4</v>
      </c>
      <c r="L22" s="2190"/>
      <c r="M22" s="1403">
        <v>0</v>
      </c>
      <c r="N22" s="1296"/>
      <c r="O22" s="1403">
        <v>0</v>
      </c>
      <c r="P22" s="1296"/>
      <c r="Q22" s="1403">
        <v>0</v>
      </c>
      <c r="R22" s="1296"/>
      <c r="S22" s="1214">
        <f t="shared" si="2"/>
        <v>0</v>
      </c>
      <c r="T22" s="2176"/>
      <c r="U22" s="1214">
        <f t="shared" si="3"/>
        <v>0</v>
      </c>
      <c r="V22" s="2180"/>
      <c r="W22" s="2247"/>
      <c r="X22" s="2180"/>
      <c r="Y22" s="2247"/>
      <c r="Z22" s="2180"/>
      <c r="AA22" s="2176"/>
      <c r="AB22" s="2156"/>
      <c r="AC22" s="2156"/>
      <c r="AD22" s="2156"/>
      <c r="AE22" s="2156"/>
      <c r="AF22" s="2156"/>
      <c r="AG22" s="2156"/>
      <c r="AH22" s="2156"/>
      <c r="AI22" s="2156"/>
      <c r="AJ22" s="2156"/>
      <c r="AK22" s="2156"/>
      <c r="AL22" s="2156"/>
      <c r="AM22" s="2156"/>
      <c r="AN22" s="2156"/>
      <c r="AO22" s="2156"/>
      <c r="AP22" s="2156"/>
      <c r="AQ22" s="1173"/>
      <c r="AR22" s="1173"/>
      <c r="AS22" s="1173"/>
      <c r="AT22" s="1173"/>
      <c r="AU22" s="1173"/>
      <c r="AV22" s="2168"/>
    </row>
    <row r="23" spans="1:48">
      <c r="A23" s="1863" t="s">
        <v>21</v>
      </c>
      <c r="B23" s="2156" t="s">
        <v>16</v>
      </c>
      <c r="C23" s="1214">
        <v>2581</v>
      </c>
      <c r="D23" s="1214"/>
      <c r="E23" s="1214">
        <v>1610</v>
      </c>
      <c r="F23" s="1214"/>
      <c r="G23" s="1403">
        <f>+' Exhibit I State'!AF56</f>
        <v>1607.2</v>
      </c>
      <c r="H23" s="1214"/>
      <c r="I23" s="1214">
        <f t="shared" si="0"/>
        <v>-973.8</v>
      </c>
      <c r="J23" s="2176"/>
      <c r="K23" s="1214">
        <f t="shared" si="1"/>
        <v>-2.8</v>
      </c>
      <c r="L23" s="2190"/>
      <c r="M23" s="1214">
        <v>0</v>
      </c>
      <c r="N23" s="1214"/>
      <c r="O23" s="1214">
        <v>0</v>
      </c>
      <c r="P23" s="1214"/>
      <c r="Q23" s="1214">
        <f>+'Exhibit I Federal'!AF38</f>
        <v>0.9</v>
      </c>
      <c r="R23" s="1214"/>
      <c r="S23" s="1214">
        <f t="shared" si="2"/>
        <v>0.9</v>
      </c>
      <c r="T23" s="2176"/>
      <c r="U23" s="1214">
        <f t="shared" si="3"/>
        <v>0.9</v>
      </c>
      <c r="V23" s="2176"/>
      <c r="W23" s="2247"/>
      <c r="X23" s="2176"/>
      <c r="Y23" s="2247"/>
      <c r="Z23" s="2176"/>
      <c r="AA23" s="2176"/>
    </row>
    <row r="24" spans="1:48">
      <c r="A24" s="1863" t="s">
        <v>22</v>
      </c>
      <c r="B24" s="2156" t="s">
        <v>16</v>
      </c>
      <c r="C24" s="1404">
        <v>2</v>
      </c>
      <c r="D24" s="1214"/>
      <c r="E24" s="1404">
        <v>4</v>
      </c>
      <c r="F24" s="1214"/>
      <c r="G24" s="1403">
        <f>+' Exhibit I State'!AF58</f>
        <v>2.5</v>
      </c>
      <c r="H24" s="1214"/>
      <c r="I24" s="1214">
        <f t="shared" si="0"/>
        <v>0.5</v>
      </c>
      <c r="J24" s="2176"/>
      <c r="K24" s="1214">
        <f t="shared" si="1"/>
        <v>-1.5</v>
      </c>
      <c r="L24" s="2190"/>
      <c r="M24" s="1214">
        <v>1235</v>
      </c>
      <c r="N24" s="1214"/>
      <c r="O24" s="1214">
        <v>1101</v>
      </c>
      <c r="P24" s="1214"/>
      <c r="Q24" s="1214">
        <f>+'Exhibit I Federal'!AF40</f>
        <v>1101.9000000000001</v>
      </c>
      <c r="R24" s="1214"/>
      <c r="S24" s="1214">
        <f t="shared" si="2"/>
        <v>-133.1</v>
      </c>
      <c r="T24" s="2176"/>
      <c r="U24" s="1214">
        <f t="shared" si="3"/>
        <v>0.9</v>
      </c>
      <c r="V24" s="2176"/>
      <c r="W24" s="2247"/>
      <c r="X24" s="2176"/>
      <c r="Y24" s="2247"/>
      <c r="Z24" s="2176"/>
      <c r="AA24" s="2176"/>
    </row>
    <row r="25" spans="1:48">
      <c r="A25" s="1863" t="s">
        <v>101</v>
      </c>
      <c r="B25" s="2156" t="s">
        <v>16</v>
      </c>
      <c r="C25" s="1296">
        <v>0</v>
      </c>
      <c r="D25" s="1214"/>
      <c r="E25" s="1296">
        <v>0</v>
      </c>
      <c r="F25" s="1214"/>
      <c r="G25" s="1296">
        <v>0</v>
      </c>
      <c r="H25" s="1214"/>
      <c r="I25" s="1214">
        <f t="shared" si="0"/>
        <v>0</v>
      </c>
      <c r="J25" s="2176"/>
      <c r="K25" s="1214">
        <f t="shared" si="1"/>
        <v>0</v>
      </c>
      <c r="L25" s="2191"/>
      <c r="M25" s="1403">
        <v>0</v>
      </c>
      <c r="N25" s="1214"/>
      <c r="O25" s="1403">
        <v>0</v>
      </c>
      <c r="P25" s="1214"/>
      <c r="Q25" s="1296">
        <v>0</v>
      </c>
      <c r="R25" s="1214"/>
      <c r="S25" s="1214">
        <f t="shared" si="2"/>
        <v>0</v>
      </c>
      <c r="T25" s="2177"/>
      <c r="U25" s="1214">
        <f t="shared" si="3"/>
        <v>0</v>
      </c>
      <c r="V25" s="2176"/>
      <c r="W25" s="2247"/>
      <c r="X25" s="2176"/>
      <c r="Y25" s="2247"/>
      <c r="Z25" s="2176"/>
      <c r="AA25" s="2176"/>
    </row>
    <row r="26" spans="1:48">
      <c r="A26" s="1863" t="s">
        <v>49</v>
      </c>
      <c r="B26" s="2156" t="s">
        <v>16</v>
      </c>
      <c r="C26" s="1372">
        <v>433</v>
      </c>
      <c r="D26" s="1214"/>
      <c r="E26" s="1372">
        <v>576</v>
      </c>
      <c r="F26" s="1214"/>
      <c r="G26" s="1400">
        <f>+' Exhibit I State'!AF88</f>
        <v>473.7</v>
      </c>
      <c r="H26" s="1214"/>
      <c r="I26" s="1214">
        <f t="shared" si="0"/>
        <v>40.700000000000003</v>
      </c>
      <c r="J26" s="2176"/>
      <c r="K26" s="1214">
        <f t="shared" si="1"/>
        <v>-102.3</v>
      </c>
      <c r="L26" s="2190"/>
      <c r="M26" s="1372">
        <v>0</v>
      </c>
      <c r="N26" s="1214"/>
      <c r="O26" s="1372">
        <v>0</v>
      </c>
      <c r="P26" s="1214"/>
      <c r="Q26" s="1372">
        <f>+'Exhibit I Federal'!I69</f>
        <v>0</v>
      </c>
      <c r="R26" s="1214"/>
      <c r="S26" s="1214">
        <f t="shared" si="2"/>
        <v>0</v>
      </c>
      <c r="T26" s="2177"/>
      <c r="U26" s="1214">
        <f t="shared" si="3"/>
        <v>0</v>
      </c>
      <c r="V26" s="2176"/>
      <c r="W26" s="2247"/>
      <c r="X26" s="2176"/>
      <c r="Y26" s="2247"/>
      <c r="Z26" s="2176"/>
      <c r="AA26" s="2176"/>
    </row>
    <row r="27" spans="1:48" ht="18" customHeight="1">
      <c r="A27" s="380" t="s">
        <v>114</v>
      </c>
      <c r="B27" s="358" t="s">
        <v>16</v>
      </c>
      <c r="C27" s="425">
        <f>ROUND(SUM(C20:C26),1)</f>
        <v>3822</v>
      </c>
      <c r="D27" s="2154"/>
      <c r="E27" s="425">
        <f>ROUND(SUM(E20:E26),1)</f>
        <v>3013</v>
      </c>
      <c r="F27" s="2154"/>
      <c r="G27" s="425">
        <f>ROUND(SUM(G20:G26),1)</f>
        <v>2903.6</v>
      </c>
      <c r="H27" s="2154"/>
      <c r="I27" s="425">
        <f>ROUND(SUM(I20:I26),1)</f>
        <v>-918.4</v>
      </c>
      <c r="J27" s="277"/>
      <c r="K27" s="425">
        <f>ROUND(SUM(K20:K26),1)</f>
        <v>-109.4</v>
      </c>
      <c r="L27" s="2192"/>
      <c r="M27" s="425">
        <f>ROUND(SUM(M20:M26),1)</f>
        <v>1235</v>
      </c>
      <c r="N27" s="2154"/>
      <c r="O27" s="425">
        <f>ROUND(SUM(O20:O26),1)</f>
        <v>1101</v>
      </c>
      <c r="P27" s="2154"/>
      <c r="Q27" s="425">
        <f>ROUND(SUM(Q20:Q26),1)</f>
        <v>1102.8</v>
      </c>
      <c r="R27" s="2154"/>
      <c r="S27" s="425">
        <f>ROUND(SUM(S20:S26),1)</f>
        <v>-132.19999999999999</v>
      </c>
      <c r="T27" s="277"/>
      <c r="U27" s="425">
        <f>ROUND(SUM(U20:U26),1)</f>
        <v>1.8</v>
      </c>
      <c r="V27" s="277"/>
      <c r="W27" s="277"/>
      <c r="X27" s="277"/>
      <c r="Y27" s="277"/>
      <c r="Z27" s="277"/>
      <c r="AA27" s="277"/>
    </row>
    <row r="28" spans="1:48">
      <c r="A28" s="1407"/>
      <c r="B28" s="2156" t="s">
        <v>16</v>
      </c>
      <c r="C28" s="1405"/>
      <c r="D28" s="1214"/>
      <c r="E28" s="1405"/>
      <c r="F28" s="1214"/>
      <c r="G28" s="1405"/>
      <c r="H28" s="1214"/>
      <c r="I28" s="1405"/>
      <c r="J28" s="2176"/>
      <c r="K28" s="1405"/>
      <c r="L28" s="2190"/>
      <c r="M28" s="1405"/>
      <c r="N28" s="1214"/>
      <c r="O28" s="1405"/>
      <c r="P28" s="1214"/>
      <c r="Q28" s="1405"/>
      <c r="R28" s="1214"/>
      <c r="S28" s="1405" t="s">
        <v>16</v>
      </c>
      <c r="T28" s="2176"/>
      <c r="U28" s="1405" t="s">
        <v>16</v>
      </c>
      <c r="V28" s="2176"/>
      <c r="W28" s="2176"/>
      <c r="X28" s="2176"/>
      <c r="Y28" s="2176"/>
      <c r="Z28" s="2176"/>
      <c r="AA28" s="2176"/>
    </row>
    <row r="29" spans="1:48" ht="15.75">
      <c r="A29" s="225" t="s">
        <v>24</v>
      </c>
      <c r="B29" s="2156" t="s">
        <v>16</v>
      </c>
      <c r="C29" s="1214"/>
      <c r="D29" s="1214"/>
      <c r="E29" s="1214"/>
      <c r="F29" s="1214"/>
      <c r="G29" s="1214" t="s">
        <v>16</v>
      </c>
      <c r="H29" s="1214"/>
      <c r="I29" s="1214"/>
      <c r="J29" s="2176"/>
      <c r="K29" s="1214"/>
      <c r="L29" s="2190"/>
      <c r="M29" s="1214"/>
      <c r="N29" s="1214"/>
      <c r="O29" s="1214"/>
      <c r="P29" s="1214"/>
      <c r="Q29" s="1214"/>
      <c r="R29" s="1214"/>
      <c r="S29" s="1214"/>
      <c r="T29" s="2176"/>
      <c r="U29" s="1214"/>
      <c r="V29" s="2176"/>
      <c r="W29" s="2176"/>
      <c r="X29" s="2176"/>
      <c r="Y29" s="2176"/>
      <c r="Z29" s="2176"/>
      <c r="AA29" s="2176"/>
    </row>
    <row r="30" spans="1:48">
      <c r="A30" s="1863" t="s">
        <v>97</v>
      </c>
      <c r="B30" s="2156" t="s">
        <v>16</v>
      </c>
      <c r="C30" s="1296">
        <v>741</v>
      </c>
      <c r="D30" s="1214"/>
      <c r="E30" s="1296">
        <v>404</v>
      </c>
      <c r="F30" s="1214"/>
      <c r="G30" s="1296">
        <f>+' Exhibit I State'!AF74</f>
        <v>406.6</v>
      </c>
      <c r="H30" s="1214"/>
      <c r="I30" s="1214">
        <f>ROUND(SUM(G30)-SUM(C30),1)</f>
        <v>-334.4</v>
      </c>
      <c r="J30" s="2176"/>
      <c r="K30" s="1214">
        <f>ROUND(SUM(G30)-SUM(E30),1)</f>
        <v>2.6</v>
      </c>
      <c r="L30" s="2190"/>
      <c r="M30" s="1214">
        <v>373</v>
      </c>
      <c r="N30" s="1214"/>
      <c r="O30" s="1214">
        <v>318</v>
      </c>
      <c r="P30" s="1214"/>
      <c r="Q30" s="1214">
        <f>+'Exhibit I Federal'!AF56</f>
        <v>318.89999999999998</v>
      </c>
      <c r="R30" s="1214"/>
      <c r="S30" s="1214">
        <f>ROUND(SUM(Q30)-SUM(M30),1)</f>
        <v>-54.1</v>
      </c>
      <c r="T30" s="2176"/>
      <c r="U30" s="1214">
        <f>ROUND(SUM(Q30)-SUM(O30),1)</f>
        <v>0.9</v>
      </c>
      <c r="V30" s="2176"/>
      <c r="W30" s="2247"/>
      <c r="X30" s="2176"/>
      <c r="Y30" s="2247"/>
      <c r="Z30" s="2176"/>
      <c r="AA30" s="2176"/>
    </row>
    <row r="31" spans="1:48">
      <c r="A31" s="1863" t="s">
        <v>43</v>
      </c>
      <c r="B31" s="2156" t="s">
        <v>16</v>
      </c>
      <c r="C31" s="1296">
        <v>2763</v>
      </c>
      <c r="D31" s="1214"/>
      <c r="E31" s="1296">
        <v>2415</v>
      </c>
      <c r="F31" s="1214"/>
      <c r="G31" s="1296">
        <f>+' Exhibit I State'!AF79</f>
        <v>2416.9</v>
      </c>
      <c r="H31" s="1214"/>
      <c r="I31" s="1214">
        <f>ROUND(SUM(G31)-SUM(C31),1)</f>
        <v>-346.1</v>
      </c>
      <c r="J31" s="2176"/>
      <c r="K31" s="1214">
        <f>ROUND(SUM(G31)-SUM(E31),1)</f>
        <v>1.9</v>
      </c>
      <c r="L31" s="2191"/>
      <c r="M31" s="1214">
        <v>645</v>
      </c>
      <c r="N31" s="1214"/>
      <c r="O31" s="1214">
        <v>722</v>
      </c>
      <c r="P31" s="1214"/>
      <c r="Q31" s="1214">
        <f>+'Exhibit I Federal'!AF61</f>
        <v>722.9</v>
      </c>
      <c r="R31" s="1214"/>
      <c r="S31" s="1214">
        <f>ROUND(SUM(Q31)-SUM(M31),1)</f>
        <v>77.900000000000006</v>
      </c>
      <c r="T31" s="2176"/>
      <c r="U31" s="1214">
        <f>ROUND(SUM(Q31)-SUM(O31),1)</f>
        <v>0.9</v>
      </c>
      <c r="V31" s="2176"/>
      <c r="W31" s="2247"/>
      <c r="X31" s="2176"/>
      <c r="Y31" s="2247"/>
      <c r="Z31" s="2176"/>
      <c r="AA31" s="2176"/>
    </row>
    <row r="32" spans="1:48">
      <c r="A32" s="1863" t="s">
        <v>102</v>
      </c>
      <c r="B32" s="2156" t="s">
        <v>16</v>
      </c>
      <c r="C32" s="1372">
        <v>734</v>
      </c>
      <c r="D32" s="1214"/>
      <c r="E32" s="1372">
        <v>663</v>
      </c>
      <c r="F32" s="1214"/>
      <c r="G32" s="1372">
        <f>-' Exhibit I State'!AF89</f>
        <v>734</v>
      </c>
      <c r="H32" s="1214"/>
      <c r="I32" s="1214">
        <f>ROUND(SUM(G32)-SUM(C32),1)</f>
        <v>0</v>
      </c>
      <c r="J32" s="2176"/>
      <c r="K32" s="1214">
        <f>ROUND(SUM(G32)-SUM(E32),1)</f>
        <v>71</v>
      </c>
      <c r="L32" s="2190"/>
      <c r="M32" s="1372">
        <v>253</v>
      </c>
      <c r="N32" s="1214"/>
      <c r="O32" s="1372">
        <v>116</v>
      </c>
      <c r="P32" s="1214"/>
      <c r="Q32" s="1372">
        <f>-'Exhibit I Federal'!AF70</f>
        <v>13.2</v>
      </c>
      <c r="R32" s="1214"/>
      <c r="S32" s="1214">
        <f>ROUND(SUM(Q32)-SUM(M32),1)</f>
        <v>-239.8</v>
      </c>
      <c r="T32" s="2177"/>
      <c r="U32" s="1214">
        <f>ROUND(SUM(Q32)-SUM(O32),1)</f>
        <v>-102.8</v>
      </c>
      <c r="V32" s="2176"/>
      <c r="W32" s="2247"/>
      <c r="X32" s="2176"/>
      <c r="Y32" s="2247"/>
      <c r="Z32" s="2176"/>
      <c r="AA32" s="2176"/>
    </row>
    <row r="33" spans="1:48" ht="18" customHeight="1">
      <c r="A33" s="380" t="s">
        <v>123</v>
      </c>
      <c r="B33" s="358" t="s">
        <v>16</v>
      </c>
      <c r="C33" s="425">
        <f>ROUND(SUM(C30:C32),1)</f>
        <v>4238</v>
      </c>
      <c r="D33" s="2154"/>
      <c r="E33" s="425">
        <f>ROUND(SUM(E30:E32),1)</f>
        <v>3482</v>
      </c>
      <c r="F33" s="2154"/>
      <c r="G33" s="425">
        <f>ROUND(SUM(G30:G32),1)</f>
        <v>3557.5</v>
      </c>
      <c r="H33" s="2154"/>
      <c r="I33" s="425">
        <f>ROUND(SUM(I30:I32),1)</f>
        <v>-680.5</v>
      </c>
      <c r="J33" s="277"/>
      <c r="K33" s="425">
        <f>ROUND(SUM(K30:K32),1)</f>
        <v>75.5</v>
      </c>
      <c r="L33" s="2192"/>
      <c r="M33" s="425">
        <f>ROUND(SUM(M30:M32),1)</f>
        <v>1271</v>
      </c>
      <c r="N33" s="2154"/>
      <c r="O33" s="425">
        <f>ROUND(SUM(O30:O32),1)</f>
        <v>1156</v>
      </c>
      <c r="P33" s="2154"/>
      <c r="Q33" s="425">
        <f>ROUND(SUM(Q30:Q32),1)</f>
        <v>1055</v>
      </c>
      <c r="R33" s="2154"/>
      <c r="S33" s="425">
        <f>ROUND(SUM(S30:S32),1)</f>
        <v>-216</v>
      </c>
      <c r="T33" s="277"/>
      <c r="U33" s="425">
        <f>ROUND(SUM(U30:U32),1)</f>
        <v>-101</v>
      </c>
      <c r="V33" s="277"/>
      <c r="W33" s="277"/>
      <c r="X33" s="277"/>
      <c r="Y33" s="277"/>
      <c r="Z33" s="277"/>
      <c r="AA33" s="277"/>
    </row>
    <row r="34" spans="1:48">
      <c r="A34" s="1407"/>
      <c r="B34" s="2156" t="s">
        <v>16</v>
      </c>
      <c r="C34" s="1405"/>
      <c r="D34" s="1214"/>
      <c r="E34" s="1405"/>
      <c r="F34" s="1214"/>
      <c r="G34" s="1405"/>
      <c r="H34" s="1214"/>
      <c r="I34" s="1405"/>
      <c r="J34" s="2176"/>
      <c r="K34" s="1405"/>
      <c r="L34" s="2190"/>
      <c r="M34" s="1405"/>
      <c r="N34" s="1214"/>
      <c r="O34" s="1405"/>
      <c r="P34" s="1214"/>
      <c r="Q34" s="1405"/>
      <c r="R34" s="1214"/>
      <c r="S34" s="1405"/>
      <c r="T34" s="2176"/>
      <c r="U34" s="1405"/>
      <c r="V34" s="2176"/>
      <c r="W34" s="2176"/>
      <c r="X34" s="2176"/>
      <c r="Y34" s="2176"/>
      <c r="Z34" s="2176"/>
      <c r="AA34" s="2176"/>
    </row>
    <row r="35" spans="1:48" ht="15.75">
      <c r="A35" s="225" t="s">
        <v>104</v>
      </c>
      <c r="B35" s="2156"/>
      <c r="C35" s="1214"/>
      <c r="D35" s="1214"/>
      <c r="E35" s="1214"/>
      <c r="F35" s="1214"/>
      <c r="G35" s="1214"/>
      <c r="H35" s="1214"/>
      <c r="I35" s="1214"/>
      <c r="J35" s="2176"/>
      <c r="K35" s="1214"/>
      <c r="L35" s="2190"/>
      <c r="M35" s="1214"/>
      <c r="N35" s="1214"/>
      <c r="O35" s="1214"/>
      <c r="P35" s="1214"/>
      <c r="Q35" s="1214"/>
      <c r="R35" s="1214"/>
      <c r="S35" s="1214"/>
      <c r="T35" s="2176"/>
      <c r="U35" s="1214"/>
      <c r="V35" s="2176"/>
      <c r="W35" s="2176"/>
      <c r="X35" s="2176"/>
      <c r="Y35" s="2176"/>
      <c r="Z35" s="2176"/>
      <c r="AA35" s="2176"/>
    </row>
    <row r="36" spans="1:48" ht="15.75">
      <c r="A36" s="225" t="s">
        <v>105</v>
      </c>
      <c r="B36" s="2156"/>
      <c r="C36" s="1214"/>
      <c r="D36" s="1214"/>
      <c r="E36" s="1214"/>
      <c r="F36" s="1214"/>
      <c r="G36" s="1214"/>
      <c r="H36" s="1214"/>
      <c r="I36" s="1214"/>
      <c r="J36" s="2176"/>
      <c r="K36" s="1214"/>
      <c r="L36" s="2190"/>
      <c r="M36" s="1214"/>
      <c r="N36" s="1214"/>
      <c r="O36" s="1214"/>
      <c r="P36" s="1214"/>
      <c r="Q36" s="1214"/>
      <c r="R36" s="1214"/>
      <c r="S36" s="1214"/>
      <c r="T36" s="2176"/>
      <c r="U36" s="1214"/>
      <c r="V36" s="2176"/>
      <c r="W36" s="2176"/>
      <c r="X36" s="2176"/>
      <c r="Y36" s="2176"/>
      <c r="Z36" s="2176"/>
      <c r="AA36" s="2176"/>
    </row>
    <row r="37" spans="1:48" ht="15.75">
      <c r="A37" s="380" t="s">
        <v>106</v>
      </c>
      <c r="B37" s="381" t="s">
        <v>16</v>
      </c>
      <c r="C37" s="277">
        <f>ROUND(SUM(C27)-SUM(C33),1)</f>
        <v>-416</v>
      </c>
      <c r="D37" s="288"/>
      <c r="E37" s="277">
        <f>ROUND(SUM(E27)-SUM(E33),1)</f>
        <v>-469</v>
      </c>
      <c r="F37" s="288"/>
      <c r="G37" s="277">
        <f>ROUND(SUM(G27)-SUM(G33),1)</f>
        <v>-653.9</v>
      </c>
      <c r="H37" s="288"/>
      <c r="I37" s="277">
        <f>ROUND(SUM(I27)-SUM(I33),1)</f>
        <v>-237.9</v>
      </c>
      <c r="J37" s="277"/>
      <c r="K37" s="277">
        <f>ROUND(SUM(K27)-SUM(K33),1)</f>
        <v>-184.9</v>
      </c>
      <c r="L37" s="2192"/>
      <c r="M37" s="277">
        <f>ROUND(SUM(M27)-SUM(M33),1)</f>
        <v>-36</v>
      </c>
      <c r="N37" s="288"/>
      <c r="O37" s="277">
        <f>ROUND(SUM(O27)-SUM(O33),1)</f>
        <v>-55</v>
      </c>
      <c r="P37" s="288"/>
      <c r="Q37" s="277">
        <f>ROUND(SUM(Q27)-SUM(Q33),1)</f>
        <v>47.8</v>
      </c>
      <c r="R37" s="288"/>
      <c r="S37" s="277">
        <f>ROUND(SUM(S27)-SUM(S33),1)</f>
        <v>83.8</v>
      </c>
      <c r="T37" s="288"/>
      <c r="U37" s="277">
        <f>ROUND(SUM(U27)-SUM(U33),1)</f>
        <v>102.8</v>
      </c>
      <c r="V37" s="758"/>
      <c r="W37" s="277"/>
      <c r="X37" s="758"/>
      <c r="Y37" s="277"/>
      <c r="Z37" s="758"/>
      <c r="AA37" s="277"/>
      <c r="AB37" s="1173"/>
    </row>
    <row r="38" spans="1:48" ht="15.75">
      <c r="B38" s="1173"/>
      <c r="C38" s="1312"/>
      <c r="D38" s="2165"/>
      <c r="E38" s="1312"/>
      <c r="F38" s="2165"/>
      <c r="G38" s="1312"/>
      <c r="H38" s="2165"/>
      <c r="I38" s="1312"/>
      <c r="J38" s="1312"/>
      <c r="K38" s="1312"/>
      <c r="L38" s="2192"/>
      <c r="M38" s="1312"/>
      <c r="N38" s="2165"/>
      <c r="O38" s="1312"/>
      <c r="P38" s="2165"/>
      <c r="Q38" s="1312"/>
      <c r="R38" s="2165"/>
      <c r="S38" s="1312"/>
      <c r="T38" s="1312"/>
      <c r="U38" s="1312"/>
      <c r="V38" s="1312"/>
      <c r="W38" s="1312"/>
      <c r="X38" s="1312"/>
      <c r="Y38" s="1312"/>
      <c r="Z38" s="1312"/>
      <c r="AA38" s="1312"/>
    </row>
    <row r="39" spans="1:48" ht="15.75">
      <c r="A39" s="380" t="str">
        <f>'Exh D-Governmental  '!A49</f>
        <v>Fund Balances (Deficits) at April 1</v>
      </c>
      <c r="B39" s="2167" t="s">
        <v>16</v>
      </c>
      <c r="C39" s="277">
        <v>-420</v>
      </c>
      <c r="D39" s="2165"/>
      <c r="E39" s="277">
        <v>-420</v>
      </c>
      <c r="F39" s="2165"/>
      <c r="G39" s="277">
        <v>-444.3</v>
      </c>
      <c r="H39" s="2165"/>
      <c r="I39" s="285">
        <f>ROUND(SUM(G39-C39),1)</f>
        <v>-24.3</v>
      </c>
      <c r="J39" s="285"/>
      <c r="K39" s="285">
        <f>ROUND(SUM(G39-E39),1)</f>
        <v>-24.3</v>
      </c>
      <c r="L39" s="2192"/>
      <c r="M39" s="277">
        <v>-209</v>
      </c>
      <c r="N39" s="2165"/>
      <c r="O39" s="277">
        <v>-209</v>
      </c>
      <c r="P39" s="2165"/>
      <c r="Q39" s="277">
        <v>-184.4</v>
      </c>
      <c r="R39" s="2165"/>
      <c r="S39" s="285">
        <f>ROUND(SUM(Q39-M39),1)</f>
        <v>24.6</v>
      </c>
      <c r="T39" s="1312"/>
      <c r="U39" s="285">
        <f>ROUND(SUM(Q39-O39),1)</f>
        <v>24.6</v>
      </c>
      <c r="V39" s="1312"/>
      <c r="W39" s="277"/>
      <c r="X39" s="1312"/>
      <c r="Y39" s="277"/>
      <c r="Z39" s="1312"/>
      <c r="AA39" s="285"/>
      <c r="AB39" s="1173"/>
      <c r="AC39" s="1173"/>
      <c r="AD39" s="1173"/>
      <c r="AE39" s="1173"/>
      <c r="AF39" s="1173"/>
      <c r="AG39" s="1173"/>
      <c r="AH39" s="1173"/>
      <c r="AI39" s="1173"/>
      <c r="AJ39" s="1173"/>
      <c r="AK39" s="1173"/>
      <c r="AL39" s="1173"/>
      <c r="AM39" s="1173"/>
      <c r="AN39" s="1173"/>
      <c r="AO39" s="1173"/>
      <c r="AP39" s="1173"/>
      <c r="AQ39" s="1173"/>
      <c r="AR39" s="1173"/>
      <c r="AS39" s="1173"/>
      <c r="AT39" s="1173"/>
      <c r="AU39" s="1173"/>
      <c r="AV39" s="2168"/>
    </row>
    <row r="40" spans="1:48" ht="16.5" thickBot="1">
      <c r="A40" s="3103" t="str">
        <f>+'Exh D-Governmental  '!A50</f>
        <v>Fund Balances (Deficits) at October 31</v>
      </c>
      <c r="B40" s="387" t="s">
        <v>16</v>
      </c>
      <c r="C40" s="303">
        <f>ROUND(SUM(C37:C39),1)</f>
        <v>-836</v>
      </c>
      <c r="D40" s="388"/>
      <c r="E40" s="303">
        <f>ROUND(SUM(E37:E39),1)</f>
        <v>-889</v>
      </c>
      <c r="F40" s="388"/>
      <c r="G40" s="303">
        <f>ROUND(SUM(G37:G39),1)</f>
        <v>-1098.2</v>
      </c>
      <c r="H40" s="388"/>
      <c r="I40" s="303">
        <f>ROUND(SUM(I37:I39),1)</f>
        <v>-262.2</v>
      </c>
      <c r="J40" s="429"/>
      <c r="K40" s="303">
        <f>ROUND(SUM(K37:K39),1)</f>
        <v>-209.2</v>
      </c>
      <c r="L40" s="2194"/>
      <c r="M40" s="303">
        <f>ROUND(SUM(M37:M39),1)</f>
        <v>-245</v>
      </c>
      <c r="N40" s="388"/>
      <c r="O40" s="303">
        <f>ROUND(SUM(O37:O39),1)</f>
        <v>-264</v>
      </c>
      <c r="P40" s="388"/>
      <c r="Q40" s="303">
        <f>ROUND(SUM(Q37:Q39),1)</f>
        <v>-136.6</v>
      </c>
      <c r="R40" s="388"/>
      <c r="S40" s="303">
        <f>ROUND(SUM(S37:S39),1)</f>
        <v>108.4</v>
      </c>
      <c r="T40" s="388"/>
      <c r="U40" s="303">
        <f>ROUND(SUM(U37:U39),1)</f>
        <v>127.4</v>
      </c>
      <c r="V40" s="2248"/>
      <c r="W40" s="429"/>
      <c r="X40" s="2248"/>
      <c r="Y40" s="429"/>
      <c r="Z40" s="2248"/>
      <c r="AA40" s="429"/>
      <c r="AB40" s="1173"/>
      <c r="AC40" s="1173"/>
      <c r="AD40" s="1173"/>
      <c r="AE40" s="1173"/>
      <c r="AF40" s="1173"/>
      <c r="AG40" s="1173"/>
      <c r="AH40" s="1173"/>
      <c r="AI40" s="1173"/>
      <c r="AJ40" s="1173"/>
      <c r="AK40" s="1173"/>
      <c r="AL40" s="1173"/>
      <c r="AM40" s="1173"/>
      <c r="AN40" s="1173"/>
      <c r="AO40" s="1173"/>
      <c r="AP40" s="1173"/>
      <c r="AQ40" s="1173"/>
      <c r="AR40" s="1173"/>
      <c r="AS40" s="1173"/>
      <c r="AT40" s="1173"/>
      <c r="AU40" s="1173"/>
      <c r="AV40" s="2168"/>
    </row>
    <row r="41" spans="1:48" ht="15.75" thickTop="1">
      <c r="B41" s="1173"/>
      <c r="L41" s="1173"/>
      <c r="N41" s="2168"/>
      <c r="P41" s="2168"/>
      <c r="Q41" s="2195"/>
      <c r="R41" s="2168"/>
      <c r="S41" s="2168"/>
      <c r="U41" s="2168"/>
      <c r="W41" s="1173"/>
      <c r="Y41" s="2166"/>
    </row>
    <row r="42" spans="1:48">
      <c r="A42" s="2169" t="s">
        <v>1374</v>
      </c>
      <c r="B42" s="1173"/>
      <c r="S42" s="3167"/>
    </row>
    <row r="43" spans="1:48">
      <c r="A43" s="2658" t="s">
        <v>1650</v>
      </c>
      <c r="B43" s="1173"/>
      <c r="Y43" s="2181"/>
      <c r="Z43" s="2156"/>
      <c r="AA43" s="2181"/>
      <c r="AB43" s="1294"/>
      <c r="AC43" s="2196"/>
    </row>
    <row r="44" spans="1:48">
      <c r="A44" s="391"/>
      <c r="B44" s="1173"/>
    </row>
    <row r="45" spans="1:48">
      <c r="A45" s="390"/>
      <c r="B45" s="1173"/>
    </row>
    <row r="46" spans="1:48">
      <c r="A46" s="390"/>
      <c r="B46" s="1173"/>
    </row>
    <row r="47" spans="1:48">
      <c r="B47" s="1173"/>
    </row>
    <row r="48" spans="1:48">
      <c r="B48" s="1173"/>
    </row>
    <row r="51" spans="7:7">
      <c r="G51" s="2195"/>
    </row>
  </sheetData>
  <customSheetViews>
    <customSheetView guid="{BD09DBC2-63A5-4D9C-9B00-4281066E9389}" scale="60" showPageBreaks="1" showGridLines="0" fitToPage="1" printArea="1" hiddenColumns="1">
      <selection activeCell="U39" sqref="U39"/>
      <pageMargins left="0.2" right="0.2" top="0.5" bottom="0.75" header="0.3" footer="0.3"/>
      <printOptions horizontalCentered="1"/>
      <pageSetup scale="49" firstPageNumber="14" orientation="landscape" useFirstPageNumber="1" r:id="rId1"/>
      <headerFooter>
        <oddFooter>&amp;C&amp;P</oddFooter>
      </headerFooter>
    </customSheetView>
    <customSheetView guid="{C82E0A7D-2B5B-48FC-A705-3168E651E04C}" scale="60" showPageBreaks="1" showGridLines="0" fitToPage="1" printArea="1" hiddenColumns="1">
      <selection activeCell="A41" sqref="A41"/>
      <pageMargins left="0.2" right="0.2" top="0.75" bottom="0.75" header="0.3" footer="0.3"/>
      <printOptions horizontalCentered="1"/>
      <pageSetup scale="49" orientation="landscape" r:id="rId2"/>
      <headerFooter scaleWithDoc="0">
        <oddFooter>&amp;C&amp;8 14</oddFooter>
      </headerFooter>
    </customSheetView>
    <customSheetView guid="{A8B05C3B-0E7E-44A3-A097-AF4C5C09F04E}" scale="60" showPageBreaks="1" showGridLines="0" fitToPage="1" printArea="1" hiddenColumns="1">
      <selection activeCell="A41" sqref="A41"/>
      <pageMargins left="0.2" right="0.2" top="0.75" bottom="0.75" header="0.3" footer="0.3"/>
      <printOptions horizontalCentered="1"/>
      <pageSetup scale="49" orientation="landscape" r:id="rId3"/>
      <headerFooter scaleWithDoc="0">
        <oddFooter>&amp;C&amp;8 14</oddFooter>
      </headerFooter>
    </customSheetView>
    <customSheetView guid="{8EE6466D-211E-4E05-9F84-CC0A1C6F79F4}" scale="60" showGridLines="0" fitToPage="1" hiddenColumns="1">
      <selection activeCell="A41" sqref="A41"/>
      <pageMargins left="0.2" right="0.2" top="0.75" bottom="0.75" header="0.3" footer="0.3"/>
      <printOptions horizontalCentered="1"/>
      <pageSetup scale="49" orientation="landscape" r:id="rId4"/>
      <headerFooter scaleWithDoc="0">
        <oddFooter>&amp;C&amp;8 14</oddFooter>
      </headerFooter>
    </customSheetView>
    <customSheetView guid="{4735AAE3-27B4-4549-AAB4-50ACA997F5F5}" scale="60" showPageBreaks="1" showGridLines="0" fitToPage="1" printArea="1" hiddenColumns="1" topLeftCell="A7">
      <selection activeCell="E46" sqref="E46"/>
      <pageMargins left="0.2" right="0.2" top="0.75" bottom="0.75" header="0.3" footer="0.3"/>
      <printOptions horizontalCentered="1"/>
      <pageSetup scale="49" orientation="landscape" r:id="rId5"/>
      <headerFooter scaleWithDoc="0">
        <oddFooter>&amp;C&amp;8 14</oddFooter>
      </headerFooter>
    </customSheetView>
    <customSheetView guid="{80622567-647A-4891-B8EE-6B9E2C4DAC44}" scale="60" showPageBreaks="1" showGridLines="0" fitToPage="1" printArea="1" hiddenColumns="1">
      <selection activeCell="A49" sqref="A49"/>
      <pageMargins left="0.2" right="0.2" top="0.75" bottom="0.75" header="0.3" footer="0.3"/>
      <printOptions horizontalCentered="1"/>
      <pageSetup scale="49" orientation="landscape" r:id="rId6"/>
      <headerFooter scaleWithDoc="0">
        <oddFooter>&amp;C&amp;8 14</oddFooter>
      </headerFooter>
    </customSheetView>
    <customSheetView guid="{A97EE6C3-4DA8-41BD-BE43-F596EFCB43CA}" scale="60" showPageBreaks="1" showGridLines="0" fitToPage="1" printArea="1" hiddenColumns="1">
      <selection activeCell="I50" sqref="I50"/>
      <pageMargins left="0.2" right="0.2" top="0.75" bottom="0.75" header="0.3" footer="0.3"/>
      <printOptions horizontalCentered="1"/>
      <pageSetup scale="49" orientation="landscape" r:id="rId7"/>
      <headerFooter scaleWithDoc="0">
        <oddFooter>&amp;C&amp;8 14</oddFooter>
      </headerFooter>
    </customSheetView>
    <customSheetView guid="{90B76C5A-2FC4-40F0-8436-3E4F075A4887}" scale="70" showPageBreaks="1" showGridLines="0" fitToPage="1" printArea="1">
      <selection activeCell="A49" sqref="A49"/>
      <pageMargins left="0.2" right="0.2" top="0.75" bottom="0.75" header="0.3" footer="0.3"/>
      <printOptions horizontalCentered="1"/>
      <pageSetup scale="49" orientation="landscape" r:id="rId8"/>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0" firstPageNumber="14" orientation="landscape" useFirstPageNumber="1" r:id="rId9"/>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sheetPr transitionEntry="1">
    <pageSetUpPr fitToPage="1"/>
  </sheetPr>
  <dimension ref="A1:AL57"/>
  <sheetViews>
    <sheetView showGridLines="0" showOutlineSymbols="0" zoomScale="60" zoomScaleNormal="70" workbookViewId="0"/>
  </sheetViews>
  <sheetFormatPr defaultColWidth="8.88671875" defaultRowHeight="12.75"/>
  <cols>
    <col min="1" max="1" width="28.44140625" style="2968" customWidth="1"/>
    <col min="2" max="2" width="10.77734375" style="2968" customWidth="1"/>
    <col min="3" max="3" width="3.44140625" style="2968" customWidth="1"/>
    <col min="4" max="4" width="12.109375" style="2968" customWidth="1"/>
    <col min="5" max="5" width="1.6640625" style="2968" customWidth="1"/>
    <col min="6" max="6" width="17" style="2968" bestFit="1" customWidth="1"/>
    <col min="7" max="7" width="1.6640625" style="2968" customWidth="1"/>
    <col min="8" max="8" width="12.109375" style="2968" customWidth="1"/>
    <col min="9" max="9" width="1.6640625" style="2968" customWidth="1"/>
    <col min="10" max="10" width="12.109375" style="2968" customWidth="1"/>
    <col min="11" max="11" width="1.6640625" style="2968" customWidth="1"/>
    <col min="12" max="12" width="12.109375" style="2968" customWidth="1"/>
    <col min="13" max="13" width="1.6640625" style="2968" customWidth="1"/>
    <col min="14" max="14" width="12.109375" style="2968" customWidth="1"/>
    <col min="15" max="15" width="1.6640625" style="2968" customWidth="1"/>
    <col min="16" max="16" width="12.109375" style="2968" customWidth="1"/>
    <col min="17" max="17" width="1.6640625" style="2968" customWidth="1"/>
    <col min="18" max="18" width="12.109375" style="2968" customWidth="1"/>
    <col min="19" max="19" width="1.6640625" style="2968" customWidth="1"/>
    <col min="20" max="20" width="1" style="2968" customWidth="1"/>
    <col min="21" max="21" width="1.6640625" style="2968" customWidth="1"/>
    <col min="22" max="22" width="12.109375" style="2968" customWidth="1"/>
    <col min="23" max="23" width="1.6640625" style="2968" customWidth="1"/>
    <col min="24" max="24" width="17" style="2968" bestFit="1" customWidth="1"/>
    <col min="25" max="25" width="1.6640625" style="2968" customWidth="1"/>
    <col min="26" max="26" width="1" style="2968" customWidth="1"/>
    <col min="27" max="27" width="1.6640625" style="2968" customWidth="1"/>
    <col min="28" max="28" width="12.109375" style="2968" customWidth="1"/>
    <col min="29" max="29" width="1.6640625" style="2968" customWidth="1"/>
    <col min="30" max="30" width="16.21875" style="2968" bestFit="1" customWidth="1"/>
    <col min="31" max="31" width="1.5546875" style="2968" customWidth="1"/>
    <col min="32" max="32" width="0.44140625" style="2968" customWidth="1"/>
    <col min="33" max="33" width="1.5546875" style="2968" customWidth="1"/>
    <col min="34" max="34" width="14.5546875" style="2968" bestFit="1" customWidth="1"/>
    <col min="35" max="35" width="1.6640625" style="2968" customWidth="1"/>
    <col min="36" max="36" width="13.33203125" style="2968" customWidth="1"/>
    <col min="37" max="37" width="2.21875" style="2968" customWidth="1"/>
    <col min="38" max="38" width="1.6640625" style="2968" customWidth="1"/>
    <col min="39" max="16384" width="8.88671875" style="2968"/>
  </cols>
  <sheetData>
    <row r="1" spans="1:38" s="1970" customFormat="1" ht="15">
      <c r="A1" s="1227" t="s">
        <v>1322</v>
      </c>
    </row>
    <row r="2" spans="1:38" s="2963" customFormat="1">
      <c r="A2" s="2961"/>
      <c r="B2" s="2962"/>
      <c r="C2" s="2962"/>
      <c r="D2" s="2962"/>
      <c r="E2" s="2962"/>
      <c r="F2" s="2962"/>
      <c r="G2" s="2962"/>
      <c r="H2" s="2962"/>
      <c r="I2" s="2962"/>
      <c r="J2" s="2962"/>
      <c r="K2" s="2962"/>
      <c r="L2" s="2962"/>
      <c r="M2" s="2962"/>
      <c r="N2" s="2962"/>
      <c r="O2" s="2962"/>
      <c r="P2" s="2962"/>
      <c r="Q2" s="2962"/>
      <c r="R2" s="2962"/>
      <c r="S2" s="2962"/>
      <c r="T2" s="2962"/>
      <c r="U2" s="2962"/>
      <c r="V2" s="2962"/>
      <c r="W2" s="2962"/>
      <c r="X2" s="2962"/>
      <c r="Y2" s="2962"/>
      <c r="Z2" s="2962"/>
      <c r="AA2" s="2962"/>
      <c r="AB2" s="2962"/>
      <c r="AC2" s="2962"/>
      <c r="AD2" s="2962"/>
      <c r="AE2" s="2962"/>
      <c r="AF2" s="2962"/>
      <c r="AG2" s="2962"/>
      <c r="AH2" s="2962"/>
    </row>
    <row r="3" spans="1:38" ht="18">
      <c r="A3" s="2964" t="s">
        <v>0</v>
      </c>
      <c r="B3" s="2965"/>
      <c r="C3" s="2965"/>
      <c r="D3" s="2965"/>
      <c r="E3" s="2965"/>
      <c r="F3" s="2965"/>
      <c r="G3" s="2965"/>
      <c r="H3" s="2965"/>
      <c r="I3" s="2965"/>
      <c r="J3" s="2965"/>
      <c r="K3" s="2965"/>
      <c r="L3" s="2966"/>
      <c r="M3" s="2966"/>
      <c r="N3" s="2966"/>
      <c r="O3" s="2966"/>
      <c r="P3" s="2965"/>
      <c r="Q3" s="2965"/>
      <c r="R3" s="2965"/>
      <c r="S3" s="2966"/>
      <c r="T3" s="2965"/>
      <c r="U3" s="2966"/>
      <c r="V3" s="2966"/>
      <c r="W3" s="2966"/>
      <c r="X3" s="2966"/>
      <c r="Y3" s="2966"/>
      <c r="Z3" s="2966"/>
      <c r="AA3" s="2966"/>
      <c r="AB3" s="2966"/>
      <c r="AC3" s="2966"/>
      <c r="AD3" s="2966"/>
      <c r="AE3" s="2966"/>
      <c r="AF3" s="2965"/>
      <c r="AG3" s="2965"/>
      <c r="AH3" s="2967"/>
      <c r="AI3" s="2967"/>
    </row>
    <row r="4" spans="1:38" ht="18">
      <c r="A4" s="2969" t="s">
        <v>1</v>
      </c>
      <c r="B4" s="2965"/>
      <c r="C4" s="2965"/>
      <c r="D4" s="2965"/>
      <c r="E4" s="2965"/>
      <c r="F4" s="2965"/>
      <c r="G4" s="2965"/>
      <c r="H4" s="2965"/>
      <c r="I4" s="2965"/>
      <c r="J4" s="2965"/>
      <c r="K4" s="2965"/>
      <c r="L4" s="2966"/>
      <c r="M4" s="2966"/>
      <c r="N4" s="2966"/>
      <c r="O4" s="2966"/>
      <c r="P4" s="2965"/>
      <c r="Q4" s="2965"/>
      <c r="R4" s="2965"/>
      <c r="S4" s="2966"/>
      <c r="T4" s="2965"/>
      <c r="U4" s="2966"/>
      <c r="V4" s="2966"/>
      <c r="W4" s="2966"/>
      <c r="X4" s="2966"/>
      <c r="Y4" s="2966"/>
      <c r="Z4" s="2966"/>
      <c r="AA4" s="2966"/>
      <c r="AB4" s="2966"/>
      <c r="AC4" s="2966"/>
      <c r="AD4" s="2966"/>
      <c r="AE4" s="2966"/>
      <c r="AF4" s="2965"/>
      <c r="AG4" s="2965"/>
      <c r="AH4" s="2967"/>
      <c r="AI4" s="2967"/>
    </row>
    <row r="5" spans="1:38" ht="18">
      <c r="A5" s="2964" t="s">
        <v>1401</v>
      </c>
      <c r="B5" s="2965"/>
      <c r="C5" s="2965"/>
      <c r="D5" s="2965"/>
      <c r="E5" s="2965"/>
      <c r="F5" s="2965"/>
      <c r="G5" s="2965"/>
      <c r="H5" s="2966"/>
      <c r="I5" s="2966"/>
      <c r="J5" s="2966"/>
      <c r="K5" s="2965"/>
      <c r="L5" s="2966"/>
      <c r="M5" s="2966"/>
      <c r="N5" s="2966"/>
      <c r="O5" s="2966"/>
      <c r="P5" s="2965"/>
      <c r="Q5" s="2965"/>
      <c r="R5" s="2965"/>
      <c r="S5" s="2966"/>
      <c r="T5" s="2965"/>
      <c r="U5" s="2966"/>
      <c r="V5" s="2966"/>
      <c r="W5" s="2966"/>
      <c r="X5" s="2966"/>
      <c r="Y5" s="2966"/>
      <c r="Z5" s="2966"/>
      <c r="AA5" s="2966"/>
      <c r="AB5" s="2966"/>
      <c r="AC5" s="2966"/>
      <c r="AD5" s="2966"/>
      <c r="AE5" s="2966"/>
      <c r="AF5" s="2965"/>
      <c r="AG5" s="2965"/>
      <c r="AH5" s="2967"/>
      <c r="AI5" s="2967"/>
    </row>
    <row r="6" spans="1:38" ht="14.1" customHeight="1">
      <c r="A6" s="2964" t="s">
        <v>1198</v>
      </c>
      <c r="B6" s="2965"/>
      <c r="C6" s="2965"/>
      <c r="D6" s="2965"/>
      <c r="E6" s="2965"/>
      <c r="F6" s="2965"/>
      <c r="G6" s="2965"/>
      <c r="H6" s="2965"/>
      <c r="I6" s="2965"/>
      <c r="J6" s="2965"/>
      <c r="K6" s="2965"/>
      <c r="L6" s="2966"/>
      <c r="M6" s="2966"/>
      <c r="N6" s="2966"/>
      <c r="O6" s="2966"/>
      <c r="P6" s="2965"/>
      <c r="Q6" s="2965"/>
      <c r="R6" s="2965"/>
      <c r="S6" s="2966"/>
      <c r="T6" s="2965"/>
      <c r="U6" s="2966"/>
      <c r="V6" s="2966"/>
      <c r="W6" s="2966"/>
      <c r="X6" s="2966"/>
      <c r="Y6" s="2966"/>
      <c r="Z6" s="2966"/>
      <c r="AA6" s="2966"/>
      <c r="AB6" s="2966"/>
      <c r="AC6" s="2966"/>
      <c r="AD6" s="2966"/>
      <c r="AE6" s="2966"/>
      <c r="AF6" s="2965"/>
      <c r="AG6" s="2965"/>
      <c r="AH6" s="2967"/>
      <c r="AI6" s="2967"/>
    </row>
    <row r="7" spans="1:38" ht="18">
      <c r="A7" s="2965"/>
      <c r="B7" s="2965"/>
      <c r="C7" s="2965"/>
      <c r="D7" s="2965"/>
      <c r="E7" s="2965"/>
      <c r="F7" s="2965"/>
      <c r="G7" s="2965"/>
      <c r="H7" s="2965"/>
      <c r="I7" s="2965"/>
      <c r="J7" s="2965"/>
      <c r="K7" s="2965"/>
      <c r="L7" s="2966"/>
      <c r="M7" s="2966"/>
      <c r="N7" s="2966"/>
      <c r="O7" s="2966"/>
      <c r="P7" s="2966"/>
      <c r="Q7" s="2966"/>
      <c r="R7" s="2966"/>
      <c r="S7" s="2966"/>
      <c r="T7" s="2966"/>
      <c r="U7" s="2966"/>
      <c r="V7" s="2966"/>
      <c r="W7" s="2966"/>
      <c r="X7" s="2966"/>
      <c r="Y7" s="2966"/>
      <c r="Z7" s="2966"/>
      <c r="AA7" s="2966"/>
      <c r="AB7" s="2970"/>
      <c r="AC7" s="2970"/>
      <c r="AD7" s="2970"/>
      <c r="AE7" s="2970"/>
      <c r="AF7" s="2965"/>
      <c r="AG7" s="2965"/>
      <c r="AH7" s="2967"/>
      <c r="AI7" s="2967"/>
      <c r="AJ7" s="2971" t="s">
        <v>1230</v>
      </c>
    </row>
    <row r="8" spans="1:38" ht="15.75">
      <c r="A8" s="1313"/>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3"/>
      <c r="AG8" s="1313"/>
      <c r="AH8" s="2967"/>
      <c r="AI8" s="2967"/>
    </row>
    <row r="9" spans="1:38" ht="15.75">
      <c r="A9" s="1313"/>
      <c r="B9" s="1313"/>
      <c r="C9" s="1313"/>
      <c r="D9" s="1314"/>
      <c r="E9" s="1314"/>
      <c r="F9" s="1314"/>
      <c r="G9" s="1314"/>
      <c r="H9" s="1314"/>
      <c r="I9" s="1314"/>
      <c r="J9" s="1314"/>
      <c r="K9" s="1314"/>
      <c r="L9" s="1314"/>
      <c r="M9" s="1314"/>
      <c r="N9" s="1314"/>
      <c r="O9" s="1314"/>
      <c r="P9" s="1314"/>
      <c r="Q9" s="1314"/>
      <c r="R9" s="1314"/>
      <c r="S9" s="1314"/>
      <c r="T9" s="1314"/>
      <c r="U9" s="1314"/>
      <c r="V9" s="2972"/>
      <c r="W9" s="2972"/>
      <c r="X9" s="2972"/>
      <c r="Y9" s="2972"/>
      <c r="Z9" s="2972"/>
      <c r="AA9" s="2972"/>
      <c r="AB9" s="2972"/>
      <c r="AC9" s="2972"/>
      <c r="AD9" s="2972"/>
      <c r="AE9" s="2972"/>
      <c r="AF9" s="1314"/>
      <c r="AG9" s="1314"/>
      <c r="AH9" s="2973"/>
      <c r="AI9" s="2973"/>
    </row>
    <row r="10" spans="1:38" ht="3.95" customHeight="1">
      <c r="A10" s="1313"/>
      <c r="B10" s="1313"/>
      <c r="C10" s="1313"/>
      <c r="D10" s="1313"/>
      <c r="E10" s="1313"/>
      <c r="F10" s="1313"/>
      <c r="G10" s="1313"/>
      <c r="H10" s="1313"/>
      <c r="I10" s="1313"/>
      <c r="J10" s="1313"/>
      <c r="K10" s="1313"/>
      <c r="L10" s="1313"/>
      <c r="M10" s="1313"/>
      <c r="N10" s="1313"/>
      <c r="O10" s="1313"/>
      <c r="P10" s="1313"/>
      <c r="Q10" s="1313"/>
      <c r="R10" s="1313"/>
      <c r="S10" s="1313"/>
      <c r="T10" s="1149"/>
      <c r="U10" s="1149"/>
      <c r="V10" s="1313"/>
      <c r="W10" s="1313"/>
      <c r="X10" s="1313"/>
      <c r="Y10" s="1313"/>
      <c r="Z10" s="1313"/>
      <c r="AA10" s="1313"/>
      <c r="AB10" s="1313"/>
      <c r="AC10" s="1313"/>
      <c r="AD10" s="1313"/>
      <c r="AE10" s="1313"/>
      <c r="AF10" s="1313"/>
      <c r="AG10" s="1313"/>
      <c r="AH10" s="2967"/>
      <c r="AI10" s="2967"/>
    </row>
    <row r="11" spans="1:38" ht="15" customHeight="1">
      <c r="A11" s="1313"/>
      <c r="B11" s="1313"/>
      <c r="C11" s="1313"/>
      <c r="D11" s="2974" t="s">
        <v>3</v>
      </c>
      <c r="E11" s="2974"/>
      <c r="F11" s="2974"/>
      <c r="G11" s="1149"/>
      <c r="H11" s="2974" t="s">
        <v>60</v>
      </c>
      <c r="I11" s="2974"/>
      <c r="J11" s="2974"/>
      <c r="K11" s="1149"/>
      <c r="L11" s="2974" t="s">
        <v>5</v>
      </c>
      <c r="M11" s="2974"/>
      <c r="N11" s="2974"/>
      <c r="O11" s="1149"/>
      <c r="P11" s="2974" t="s">
        <v>126</v>
      </c>
      <c r="Q11" s="2974"/>
      <c r="R11" s="2974"/>
      <c r="S11" s="1313"/>
      <c r="T11" s="1149"/>
      <c r="U11" s="1149"/>
      <c r="V11" s="2975" t="s">
        <v>1231</v>
      </c>
      <c r="W11" s="2974"/>
      <c r="X11" s="2974"/>
      <c r="Y11" s="2974"/>
      <c r="Z11" s="2976"/>
      <c r="AA11" s="2976"/>
      <c r="AB11" s="2974"/>
      <c r="AC11" s="2974"/>
      <c r="AD11" s="2974"/>
      <c r="AE11" s="2977"/>
      <c r="AF11" s="2978"/>
      <c r="AG11" s="203"/>
      <c r="AH11" s="2975" t="s">
        <v>1232</v>
      </c>
      <c r="AI11" s="2974"/>
      <c r="AJ11" s="2974"/>
    </row>
    <row r="12" spans="1:38" ht="15.75">
      <c r="A12" s="1313"/>
      <c r="B12" s="1313"/>
      <c r="C12" s="1313"/>
      <c r="D12" s="2979" t="s">
        <v>7</v>
      </c>
      <c r="E12" s="2979"/>
      <c r="F12" s="2980" t="s">
        <v>1637</v>
      </c>
      <c r="G12" s="203"/>
      <c r="H12" s="2979" t="s">
        <v>7</v>
      </c>
      <c r="I12" s="2981"/>
      <c r="J12" s="2982" t="str">
        <f>F12</f>
        <v>7 MOS. ENDED</v>
      </c>
      <c r="K12" s="203"/>
      <c r="L12" s="2979" t="s">
        <v>7</v>
      </c>
      <c r="M12" s="2983"/>
      <c r="N12" s="2982" t="str">
        <f>F12</f>
        <v>7 MOS. ENDED</v>
      </c>
      <c r="O12" s="203"/>
      <c r="P12" s="2979" t="s">
        <v>7</v>
      </c>
      <c r="Q12" s="2981"/>
      <c r="R12" s="2982" t="str">
        <f>F12</f>
        <v>7 MOS. ENDED</v>
      </c>
      <c r="S12" s="1314"/>
      <c r="T12" s="203"/>
      <c r="U12" s="203"/>
      <c r="V12" s="2979" t="s">
        <v>7</v>
      </c>
      <c r="W12" s="2979"/>
      <c r="X12" s="2979" t="str">
        <f>F12</f>
        <v>7 MOS. ENDED</v>
      </c>
      <c r="Y12" s="2979"/>
      <c r="Z12" s="2984"/>
      <c r="AA12" s="2984"/>
      <c r="AB12" s="2979" t="s">
        <v>7</v>
      </c>
      <c r="AC12" s="2979"/>
      <c r="AD12" s="2982" t="str">
        <f>F12</f>
        <v>7 MOS. ENDED</v>
      </c>
      <c r="AE12" s="2985"/>
      <c r="AF12" s="2984"/>
      <c r="AG12" s="2986"/>
      <c r="AH12" s="2987" t="s">
        <v>8</v>
      </c>
      <c r="AI12" s="2988"/>
      <c r="AJ12" s="2987" t="s">
        <v>9</v>
      </c>
      <c r="AK12" s="2989"/>
      <c r="AL12" s="2967"/>
    </row>
    <row r="13" spans="1:38" ht="15.75">
      <c r="A13" s="1313"/>
      <c r="B13" s="1313"/>
      <c r="C13" s="1313"/>
      <c r="D13" s="2990" t="s">
        <v>1633</v>
      </c>
      <c r="E13" s="2991"/>
      <c r="F13" s="2990" t="s">
        <v>1634</v>
      </c>
      <c r="G13" s="1314"/>
      <c r="H13" s="2992" t="str">
        <f>D13</f>
        <v>OCT. 2014</v>
      </c>
      <c r="I13" s="2991"/>
      <c r="J13" s="2992" t="str">
        <f>F13</f>
        <v>OCT. 31, 2014</v>
      </c>
      <c r="K13" s="1314"/>
      <c r="L13" s="2992" t="str">
        <f>D13</f>
        <v>OCT. 2014</v>
      </c>
      <c r="M13" s="2991"/>
      <c r="N13" s="2992" t="str">
        <f>F13</f>
        <v>OCT. 31, 2014</v>
      </c>
      <c r="O13" s="1314"/>
      <c r="P13" s="2992" t="str">
        <f>D13</f>
        <v>OCT. 2014</v>
      </c>
      <c r="Q13" s="2991"/>
      <c r="R13" s="2992" t="str">
        <f>F13</f>
        <v>OCT. 31, 2014</v>
      </c>
      <c r="S13" s="1314"/>
      <c r="T13" s="203"/>
      <c r="U13" s="203"/>
      <c r="V13" s="2993" t="str">
        <f>D13</f>
        <v>OCT. 2014</v>
      </c>
      <c r="W13" s="2994"/>
      <c r="X13" s="2993" t="str">
        <f>F13</f>
        <v>OCT. 31, 2014</v>
      </c>
      <c r="Y13" s="2994"/>
      <c r="Z13" s="2995"/>
      <c r="AA13" s="2995"/>
      <c r="AB13" s="2996" t="s">
        <v>1635</v>
      </c>
      <c r="AC13" s="2997"/>
      <c r="AD13" s="2996" t="s">
        <v>1636</v>
      </c>
      <c r="AE13" s="2997"/>
      <c r="AF13" s="2995"/>
      <c r="AG13" s="2994"/>
      <c r="AH13" s="2990" t="s">
        <v>13</v>
      </c>
      <c r="AI13" s="2991"/>
      <c r="AJ13" s="2990" t="s">
        <v>14</v>
      </c>
      <c r="AK13" s="2989"/>
      <c r="AL13" s="2998"/>
    </row>
    <row r="14" spans="1:38" ht="15">
      <c r="A14" s="1313"/>
      <c r="B14" s="1313"/>
      <c r="C14" s="1313"/>
      <c r="D14" s="1149"/>
      <c r="E14" s="1149"/>
      <c r="F14" s="1149"/>
      <c r="G14" s="1313"/>
      <c r="H14" s="1149"/>
      <c r="I14" s="1149"/>
      <c r="J14" s="1149"/>
      <c r="K14" s="1313"/>
      <c r="L14" s="1149"/>
      <c r="M14" s="1149"/>
      <c r="N14" s="1149"/>
      <c r="O14" s="1313"/>
      <c r="P14" s="1149"/>
      <c r="Q14" s="1149"/>
      <c r="R14" s="1149"/>
      <c r="S14" s="1313"/>
      <c r="T14" s="2999"/>
      <c r="U14" s="2999"/>
      <c r="V14" s="3000"/>
      <c r="W14" s="1149"/>
      <c r="X14" s="3000"/>
      <c r="Y14" s="1149"/>
      <c r="Z14" s="3001"/>
      <c r="AA14" s="1149"/>
      <c r="AB14" s="3000"/>
      <c r="AC14" s="1149"/>
      <c r="AD14" s="3000"/>
      <c r="AE14" s="1149"/>
      <c r="AF14" s="3002"/>
      <c r="AG14" s="1149"/>
      <c r="AH14" s="1229"/>
      <c r="AI14" s="1229"/>
      <c r="AJ14" s="3003"/>
      <c r="AK14" s="2967"/>
      <c r="AL14" s="2967"/>
    </row>
    <row r="15" spans="1:38" ht="18" customHeight="1">
      <c r="A15" s="3004" t="s">
        <v>1663</v>
      </c>
      <c r="B15" s="3005"/>
      <c r="C15" s="3005"/>
      <c r="D15" s="1313"/>
      <c r="E15" s="1313"/>
      <c r="F15" s="1313"/>
      <c r="G15" s="1313"/>
      <c r="H15" s="1313"/>
      <c r="I15" s="1313"/>
      <c r="J15" s="1313"/>
      <c r="K15" s="1313"/>
      <c r="L15" s="1313"/>
      <c r="M15" s="1313"/>
      <c r="N15" s="1313"/>
      <c r="O15" s="1313"/>
      <c r="P15" s="1313"/>
      <c r="Q15" s="1313"/>
      <c r="R15" s="1313"/>
      <c r="S15" s="1313"/>
      <c r="T15" s="2999"/>
      <c r="U15" s="2999"/>
      <c r="V15" s="1313"/>
      <c r="W15" s="1313"/>
      <c r="X15" s="1313"/>
      <c r="Y15" s="1313"/>
      <c r="Z15" s="3001"/>
      <c r="AA15" s="1149"/>
      <c r="AB15" s="1313"/>
      <c r="AC15" s="1313"/>
      <c r="AD15" s="1313"/>
      <c r="AE15" s="1313"/>
      <c r="AF15" s="3002"/>
      <c r="AG15" s="1313"/>
      <c r="AH15" s="1227"/>
      <c r="AI15" s="1227"/>
      <c r="AJ15" s="3003"/>
      <c r="AK15" s="2967"/>
      <c r="AL15" s="2967"/>
    </row>
    <row r="16" spans="1:38" ht="18" customHeight="1">
      <c r="A16" s="3005" t="s">
        <v>1233</v>
      </c>
      <c r="B16" s="3005"/>
      <c r="C16" s="1228"/>
      <c r="D16" s="3006">
        <v>2525.4000000000015</v>
      </c>
      <c r="E16" s="3194"/>
      <c r="F16" s="3006">
        <v>17394.900000000001</v>
      </c>
      <c r="G16" s="3194"/>
      <c r="H16" s="1315">
        <v>0</v>
      </c>
      <c r="I16" s="3194"/>
      <c r="J16" s="1315">
        <v>0</v>
      </c>
      <c r="K16" s="3194"/>
      <c r="L16" s="1315">
        <v>0</v>
      </c>
      <c r="M16" s="3194"/>
      <c r="N16" s="1315">
        <v>0</v>
      </c>
      <c r="O16" s="3194"/>
      <c r="P16" s="1315">
        <v>0</v>
      </c>
      <c r="Q16" s="3194"/>
      <c r="R16" s="1315">
        <v>0</v>
      </c>
      <c r="S16" s="1316"/>
      <c r="T16" s="3195"/>
      <c r="U16" s="3196"/>
      <c r="V16" s="3007">
        <f>SUM(D16)+SUM(H16)+SUM(L16)+SUM(P16)</f>
        <v>2525.4000000000015</v>
      </c>
      <c r="W16" s="3194"/>
      <c r="X16" s="3007">
        <f>SUM(F16)+SUM(J16)+SUM(N16)+SUM(R16)</f>
        <v>17394.900000000001</v>
      </c>
      <c r="Y16" s="3008"/>
      <c r="Z16" s="3197"/>
      <c r="AA16" s="3194"/>
      <c r="AB16" s="3198">
        <v>2413.3000000000002</v>
      </c>
      <c r="AC16" s="3194"/>
      <c r="AD16" s="3198">
        <v>16509.099999999999</v>
      </c>
      <c r="AE16" s="3198"/>
      <c r="AF16" s="3009"/>
      <c r="AG16" s="3008"/>
      <c r="AH16" s="3007">
        <f>ROUND(SUM(X16)-SUM(AD16),1)</f>
        <v>885.8</v>
      </c>
      <c r="AI16" s="1157"/>
      <c r="AJ16" s="3010">
        <f>ROUND(AH16/AD16,3)</f>
        <v>5.3999999999999999E-2</v>
      </c>
      <c r="AK16" s="3011"/>
      <c r="AL16" s="2967"/>
    </row>
    <row r="17" spans="1:38" ht="18" customHeight="1">
      <c r="A17" s="3012" t="s">
        <v>1318</v>
      </c>
      <c r="B17" s="3005"/>
      <c r="C17" s="3013"/>
      <c r="D17" s="1162">
        <v>153.10000000000036</v>
      </c>
      <c r="E17" s="1161"/>
      <c r="F17" s="1162">
        <v>8594</v>
      </c>
      <c r="G17" s="1161"/>
      <c r="H17" s="1166">
        <v>0</v>
      </c>
      <c r="I17" s="3199"/>
      <c r="J17" s="3015">
        <v>0</v>
      </c>
      <c r="K17" s="1161"/>
      <c r="L17" s="1166">
        <v>0</v>
      </c>
      <c r="M17" s="3199"/>
      <c r="N17" s="1167">
        <v>0</v>
      </c>
      <c r="O17" s="1161"/>
      <c r="P17" s="1166">
        <v>0</v>
      </c>
      <c r="Q17" s="3199"/>
      <c r="R17" s="1167">
        <v>0</v>
      </c>
      <c r="S17" s="1161"/>
      <c r="T17" s="3200"/>
      <c r="U17" s="3200"/>
      <c r="V17" s="3014">
        <f>SUM(D17)+SUM(H17)+SUM(L17)+SUM(P17)</f>
        <v>153.10000000000036</v>
      </c>
      <c r="W17" s="1163"/>
      <c r="X17" s="3014">
        <f>SUM(F17)+SUM(J17)+SUM(N17)+SUM(R17)</f>
        <v>8594</v>
      </c>
      <c r="Y17" s="3017"/>
      <c r="Z17" s="3018"/>
      <c r="AA17" s="1164"/>
      <c r="AB17" s="3199">
        <v>143.1</v>
      </c>
      <c r="AC17" s="1162"/>
      <c r="AD17" s="3199">
        <v>10038.1</v>
      </c>
      <c r="AE17" s="3199"/>
      <c r="AF17" s="3019"/>
      <c r="AG17" s="3017"/>
      <c r="AH17" s="3014">
        <f>ROUND(SUM(X17)-SUM(AD17),1)</f>
        <v>-1444.1</v>
      </c>
      <c r="AI17" s="3201"/>
      <c r="AJ17" s="3020">
        <f>ROUND(AH17/AD17,3)</f>
        <v>-0.14399999999999999</v>
      </c>
      <c r="AK17" s="3011"/>
      <c r="AL17" s="2967"/>
    </row>
    <row r="18" spans="1:38" ht="18" customHeight="1">
      <c r="A18" s="3005" t="s">
        <v>1234</v>
      </c>
      <c r="B18" s="3005" t="s">
        <v>16</v>
      </c>
      <c r="C18" s="3005"/>
      <c r="D18" s="1162">
        <v>335.29999999999995</v>
      </c>
      <c r="E18" s="1161"/>
      <c r="F18" s="1162">
        <v>1987.1</v>
      </c>
      <c r="G18" s="1161"/>
      <c r="H18" s="1166">
        <v>0</v>
      </c>
      <c r="I18" s="3199"/>
      <c r="J18" s="3015">
        <v>0</v>
      </c>
      <c r="K18" s="1161"/>
      <c r="L18" s="1166">
        <v>0</v>
      </c>
      <c r="M18" s="3199"/>
      <c r="N18" s="1167">
        <v>0</v>
      </c>
      <c r="O18" s="1161"/>
      <c r="P18" s="1166">
        <v>0</v>
      </c>
      <c r="Q18" s="3199"/>
      <c r="R18" s="1167">
        <v>0</v>
      </c>
      <c r="S18" s="1161"/>
      <c r="T18" s="3200"/>
      <c r="U18" s="3200"/>
      <c r="V18" s="3014">
        <f>SUM(D18)+SUM(H18)+SUM(L18)+SUM(P18)</f>
        <v>335.29999999999995</v>
      </c>
      <c r="W18" s="1163"/>
      <c r="X18" s="3014">
        <f>SUM(F18)+SUM(J18)+SUM(N18)+SUM(R18)</f>
        <v>1987.1</v>
      </c>
      <c r="Y18" s="3017"/>
      <c r="Z18" s="3018"/>
      <c r="AA18" s="1164"/>
      <c r="AB18" s="3199">
        <v>370.5</v>
      </c>
      <c r="AC18" s="1162"/>
      <c r="AD18" s="3199">
        <v>2167.5</v>
      </c>
      <c r="AE18" s="3199"/>
      <c r="AF18" s="3019"/>
      <c r="AG18" s="3017"/>
      <c r="AH18" s="3014">
        <f>ROUND(SUM(X18)-SUM(AD18),1)</f>
        <v>-180.4</v>
      </c>
      <c r="AI18" s="3201"/>
      <c r="AJ18" s="3020">
        <f>ROUND(AH18/AD18,3)</f>
        <v>-8.3000000000000004E-2</v>
      </c>
      <c r="AK18" s="3011"/>
      <c r="AL18" s="2967"/>
    </row>
    <row r="19" spans="1:38" ht="18" customHeight="1">
      <c r="A19" s="3012" t="s">
        <v>1235</v>
      </c>
      <c r="B19" s="3005"/>
      <c r="C19" s="3005"/>
      <c r="D19" s="1162">
        <v>-209.99999999999997</v>
      </c>
      <c r="E19" s="1161"/>
      <c r="F19" s="1162">
        <v>-429.4</v>
      </c>
      <c r="G19" s="1161"/>
      <c r="H19" s="1166">
        <v>0</v>
      </c>
      <c r="I19" s="3199"/>
      <c r="J19" s="3015">
        <v>0</v>
      </c>
      <c r="K19" s="1161"/>
      <c r="L19" s="1166">
        <v>0</v>
      </c>
      <c r="M19" s="3199"/>
      <c r="N19" s="1167">
        <v>0</v>
      </c>
      <c r="O19" s="1161"/>
      <c r="P19" s="1166">
        <v>0</v>
      </c>
      <c r="Q19" s="3199"/>
      <c r="R19" s="1167">
        <v>0</v>
      </c>
      <c r="S19" s="1161"/>
      <c r="T19" s="3200"/>
      <c r="U19" s="3200"/>
      <c r="V19" s="3014">
        <f>SUM(D19)+SUM(H19)+SUM(L19)+SUM(P19)</f>
        <v>-209.99999999999997</v>
      </c>
      <c r="W19" s="1163"/>
      <c r="X19" s="3014">
        <f>SUM(F19)+SUM(J19)+SUM(N19)+SUM(R19)</f>
        <v>-429.4</v>
      </c>
      <c r="Y19" s="3017"/>
      <c r="Z19" s="3018"/>
      <c r="AA19" s="1164"/>
      <c r="AB19" s="3202">
        <v>-246.2</v>
      </c>
      <c r="AC19" s="1162"/>
      <c r="AD19" s="3199">
        <v>-450.9</v>
      </c>
      <c r="AE19" s="3199"/>
      <c r="AF19" s="3019"/>
      <c r="AG19" s="3017"/>
      <c r="AH19" s="3014">
        <f>-ROUND(SUM(X19)-SUM(AD19),1)</f>
        <v>-21.5</v>
      </c>
      <c r="AI19" s="3318"/>
      <c r="AJ19" s="3020">
        <f>-ROUND(AH19/AD19,3)</f>
        <v>-4.8000000000000001E-2</v>
      </c>
      <c r="AK19" s="3011"/>
      <c r="AL19" s="2967"/>
    </row>
    <row r="20" spans="1:38" ht="18" customHeight="1">
      <c r="A20" s="3012" t="s">
        <v>1236</v>
      </c>
      <c r="B20" s="3005" t="s">
        <v>16</v>
      </c>
      <c r="C20" s="3005"/>
      <c r="D20" s="1162">
        <v>85.5</v>
      </c>
      <c r="E20" s="1161"/>
      <c r="F20" s="3022">
        <v>645.1</v>
      </c>
      <c r="G20" s="1161"/>
      <c r="H20" s="1166">
        <v>0</v>
      </c>
      <c r="I20" s="3199"/>
      <c r="J20" s="3015">
        <v>0</v>
      </c>
      <c r="K20" s="1161"/>
      <c r="L20" s="1166">
        <v>0</v>
      </c>
      <c r="M20" s="3199"/>
      <c r="N20" s="1167">
        <v>0</v>
      </c>
      <c r="O20" s="1161"/>
      <c r="P20" s="1166">
        <v>0</v>
      </c>
      <c r="Q20" s="3199"/>
      <c r="R20" s="1167">
        <v>0</v>
      </c>
      <c r="S20" s="1161"/>
      <c r="T20" s="3200"/>
      <c r="U20" s="3200"/>
      <c r="V20" s="3014">
        <f>SUM(D20)+SUM(H20)+SUM(L20)+SUM(P20)</f>
        <v>85.5</v>
      </c>
      <c r="W20" s="1163"/>
      <c r="X20" s="3014">
        <f>SUM(F20)+SUM(J20)+SUM(N20)+SUM(R20)</f>
        <v>645.1</v>
      </c>
      <c r="Y20" s="3017"/>
      <c r="Z20" s="3018"/>
      <c r="AA20" s="1164"/>
      <c r="AB20" s="3199">
        <v>86</v>
      </c>
      <c r="AC20" s="1162"/>
      <c r="AD20" s="3199">
        <v>599.1</v>
      </c>
      <c r="AE20" s="3199"/>
      <c r="AF20" s="3019"/>
      <c r="AG20" s="3017"/>
      <c r="AH20" s="3023">
        <f>ROUND(SUM(X20)-SUM(AD20),1)</f>
        <v>46</v>
      </c>
      <c r="AI20" s="3318"/>
      <c r="AJ20" s="3024">
        <f>ROUND(AH20/AD20,3)</f>
        <v>7.6999999999999999E-2</v>
      </c>
      <c r="AK20" s="3011"/>
      <c r="AL20" s="2967"/>
    </row>
    <row r="21" spans="1:38" s="3038" customFormat="1" ht="18" customHeight="1">
      <c r="A21" s="3004" t="s">
        <v>1237</v>
      </c>
      <c r="B21" s="3004"/>
      <c r="C21" s="3004"/>
      <c r="D21" s="3025">
        <f>ROUND(SUM(D16:D20),1)</f>
        <v>2889.3</v>
      </c>
      <c r="E21" s="3026"/>
      <c r="F21" s="3025">
        <f>ROUND(SUM(F16:F20),1)</f>
        <v>28191.7</v>
      </c>
      <c r="G21" s="3027"/>
      <c r="H21" s="3025">
        <f>ROUND(SUM(H16:H20),1)</f>
        <v>0</v>
      </c>
      <c r="I21" s="3203"/>
      <c r="J21" s="3025">
        <f>ROUND(SUM(J16:J20),1)</f>
        <v>0</v>
      </c>
      <c r="K21" s="3027"/>
      <c r="L21" s="3025">
        <f>ROUND(SUM(L16:L20),1)</f>
        <v>0</v>
      </c>
      <c r="M21" s="3203"/>
      <c r="N21" s="3025">
        <f>ROUND(SUM(N16:N20),1)</f>
        <v>0</v>
      </c>
      <c r="O21" s="3027"/>
      <c r="P21" s="3025">
        <f>ROUND(SUM(P16:P20),1)</f>
        <v>0</v>
      </c>
      <c r="Q21" s="3203"/>
      <c r="R21" s="3025">
        <f>ROUND(SUM(R16:R20),1)</f>
        <v>0</v>
      </c>
      <c r="S21" s="3027"/>
      <c r="T21" s="3029"/>
      <c r="U21" s="3029"/>
      <c r="V21" s="3030">
        <f>ROUND(SUM(V16:V20),1)</f>
        <v>2889.3</v>
      </c>
      <c r="W21" s="3026"/>
      <c r="X21" s="3030">
        <f>ROUND(SUM(X16:X20),1)</f>
        <v>28191.7</v>
      </c>
      <c r="Y21" s="3031"/>
      <c r="Z21" s="3032"/>
      <c r="AA21" s="3026"/>
      <c r="AB21" s="3030">
        <f>ROUND(SUM(AB16:AB20),1)</f>
        <v>2766.7</v>
      </c>
      <c r="AC21" s="3027"/>
      <c r="AD21" s="3030">
        <f>ROUND(SUM(AD16:AD20),1)</f>
        <v>28862.9</v>
      </c>
      <c r="AE21" s="3028"/>
      <c r="AF21" s="3033"/>
      <c r="AG21" s="3031"/>
      <c r="AH21" s="3034">
        <f>ROUND(SUM(X21)-SUM(AD21),1)</f>
        <v>-671.2</v>
      </c>
      <c r="AI21" s="21"/>
      <c r="AJ21" s="3035">
        <f>ROUND(AH21/AD21,3)</f>
        <v>-2.3E-2</v>
      </c>
      <c r="AK21" s="3036"/>
      <c r="AL21" s="3037"/>
    </row>
    <row r="22" spans="1:38" ht="18" customHeight="1">
      <c r="A22" s="3012" t="s">
        <v>1238</v>
      </c>
      <c r="B22" s="3005"/>
      <c r="C22" s="3005"/>
      <c r="D22" s="3039">
        <v>-4.5</v>
      </c>
      <c r="E22" s="3199"/>
      <c r="F22" s="1162">
        <v>-632</v>
      </c>
      <c r="G22" s="1162"/>
      <c r="H22" s="1162">
        <v>4.5</v>
      </c>
      <c r="I22" s="3199"/>
      <c r="J22" s="3021">
        <v>632</v>
      </c>
      <c r="K22" s="1162"/>
      <c r="L22" s="3040">
        <v>0</v>
      </c>
      <c r="M22" s="3199"/>
      <c r="N22" s="1317">
        <v>0</v>
      </c>
      <c r="O22" s="1162"/>
      <c r="P22" s="3040">
        <v>0</v>
      </c>
      <c r="Q22" s="3199"/>
      <c r="R22" s="1317">
        <v>0</v>
      </c>
      <c r="S22" s="1162"/>
      <c r="T22" s="3016"/>
      <c r="U22" s="3016"/>
      <c r="V22" s="3040">
        <v>0</v>
      </c>
      <c r="W22" s="1164"/>
      <c r="X22" s="3040">
        <v>0</v>
      </c>
      <c r="Y22" s="3017"/>
      <c r="Z22" s="3018"/>
      <c r="AA22" s="1164"/>
      <c r="AB22" s="3041">
        <v>0</v>
      </c>
      <c r="AC22" s="1164"/>
      <c r="AD22" s="3041">
        <v>0</v>
      </c>
      <c r="AE22" s="1165"/>
      <c r="AF22" s="3019"/>
      <c r="AG22" s="3017"/>
      <c r="AH22" s="3015">
        <f>ROUND(SUM(X22)-SUM(AD22),1)</f>
        <v>0</v>
      </c>
      <c r="AI22" s="3318"/>
      <c r="AJ22" s="3249">
        <f>ROUND(IF(AD22=0,0,AH22/(AD22)),3)</f>
        <v>0</v>
      </c>
      <c r="AK22" s="3042"/>
      <c r="AL22" s="2967"/>
    </row>
    <row r="23" spans="1:38" ht="18" customHeight="1">
      <c r="A23" s="3012" t="s">
        <v>1239</v>
      </c>
      <c r="B23" s="3005"/>
      <c r="C23" s="3005"/>
      <c r="D23" s="1162">
        <v>-621.79999999999927</v>
      </c>
      <c r="E23" s="1161"/>
      <c r="F23" s="1162">
        <v>-5843.4</v>
      </c>
      <c r="G23" s="1162"/>
      <c r="H23" s="1166">
        <v>0</v>
      </c>
      <c r="I23" s="3199"/>
      <c r="J23" s="3015">
        <v>0</v>
      </c>
      <c r="K23" s="1162"/>
      <c r="L23" s="3014">
        <v>621.79999999999927</v>
      </c>
      <c r="M23" s="3199"/>
      <c r="N23" s="3014">
        <v>5843.4</v>
      </c>
      <c r="O23" s="1162"/>
      <c r="P23" s="1166">
        <v>0</v>
      </c>
      <c r="Q23" s="3199"/>
      <c r="R23" s="1167">
        <v>0</v>
      </c>
      <c r="S23" s="1162"/>
      <c r="T23" s="3016"/>
      <c r="U23" s="3016"/>
      <c r="V23" s="1166">
        <v>0</v>
      </c>
      <c r="W23" s="1164"/>
      <c r="X23" s="1166">
        <v>0</v>
      </c>
      <c r="Y23" s="3017"/>
      <c r="Z23" s="3018"/>
      <c r="AA23" s="1164"/>
      <c r="AB23" s="3039">
        <v>0</v>
      </c>
      <c r="AC23" s="1164"/>
      <c r="AD23" s="3039">
        <v>0</v>
      </c>
      <c r="AE23" s="1165"/>
      <c r="AF23" s="3019"/>
      <c r="AG23" s="3017"/>
      <c r="AH23" s="3015">
        <f>ROUND(SUM(X23)-SUM(AD23),1)</f>
        <v>0</v>
      </c>
      <c r="AI23" s="3318"/>
      <c r="AJ23" s="3249">
        <f>ROUND(IF(AD23=0,0,AH23/(AD23)),3)</f>
        <v>0</v>
      </c>
      <c r="AK23" s="3042"/>
      <c r="AL23" s="2967"/>
    </row>
    <row r="24" spans="1:38" ht="18" customHeight="1">
      <c r="A24" s="3005" t="s">
        <v>1240</v>
      </c>
      <c r="B24" s="3005"/>
      <c r="C24" s="3005"/>
      <c r="D24" s="1162">
        <v>-401.89999999999964</v>
      </c>
      <c r="E24" s="1163"/>
      <c r="F24" s="1162">
        <v>-4818</v>
      </c>
      <c r="G24" s="1161"/>
      <c r="H24" s="1166">
        <v>0</v>
      </c>
      <c r="I24" s="3199"/>
      <c r="J24" s="3015">
        <v>0</v>
      </c>
      <c r="K24" s="1161"/>
      <c r="L24" s="1166">
        <v>0</v>
      </c>
      <c r="M24" s="3199"/>
      <c r="N24" s="1167">
        <v>0</v>
      </c>
      <c r="O24" s="1161"/>
      <c r="P24" s="1166">
        <v>0</v>
      </c>
      <c r="Q24" s="3199"/>
      <c r="R24" s="1167">
        <v>0</v>
      </c>
      <c r="S24" s="1161"/>
      <c r="T24" s="3200"/>
      <c r="U24" s="3200"/>
      <c r="V24" s="3014">
        <f>SUM(D24)+SUM(H24)+SUM(L24)+SUM(P24)</f>
        <v>-401.89999999999964</v>
      </c>
      <c r="W24" s="1163"/>
      <c r="X24" s="3014">
        <f>SUM(F24)+SUM(J24)+SUM(N24)+SUM(R24)</f>
        <v>-4818</v>
      </c>
      <c r="Y24" s="3017"/>
      <c r="Z24" s="3018"/>
      <c r="AA24" s="1164"/>
      <c r="AB24" s="3202">
        <v>-361.2</v>
      </c>
      <c r="AC24" s="1162"/>
      <c r="AD24" s="3202">
        <v>-4882</v>
      </c>
      <c r="AE24" s="3199"/>
      <c r="AF24" s="3019"/>
      <c r="AG24" s="3017"/>
      <c r="AH24" s="3014">
        <f>-ROUND(SUM(X24)-SUM(AD24),1)</f>
        <v>-64</v>
      </c>
      <c r="AI24" s="3318"/>
      <c r="AJ24" s="3043">
        <f>-ROUND(AH24/AD24,3)</f>
        <v>-1.2999999999999999E-2</v>
      </c>
      <c r="AK24" s="3011"/>
      <c r="AL24" s="2967"/>
    </row>
    <row r="25" spans="1:38" ht="18" customHeight="1">
      <c r="A25" s="3044" t="s">
        <v>1241</v>
      </c>
      <c r="B25" s="3005"/>
      <c r="C25" s="3005"/>
      <c r="D25" s="3045">
        <f>ROUND(SUM(D21:D24),1)</f>
        <v>1861.1</v>
      </c>
      <c r="E25" s="3026"/>
      <c r="F25" s="3045">
        <f>ROUND(SUM(F21:F24),1)</f>
        <v>16898.3</v>
      </c>
      <c r="G25" s="3027"/>
      <c r="H25" s="3045">
        <f>ROUND(SUM(H21:H24),1)</f>
        <v>4.5</v>
      </c>
      <c r="I25" s="3203"/>
      <c r="J25" s="3045">
        <f>ROUND(SUM(J21:J24),1)</f>
        <v>632</v>
      </c>
      <c r="K25" s="3027"/>
      <c r="L25" s="3045">
        <f>ROUND(SUM(L21:L24),1)</f>
        <v>621.79999999999995</v>
      </c>
      <c r="M25" s="3203"/>
      <c r="N25" s="3045">
        <f>ROUND(SUM(N21:N24),1)</f>
        <v>5843.4</v>
      </c>
      <c r="O25" s="3027"/>
      <c r="P25" s="3045">
        <f>ROUND(SUM(P21:P24),1)</f>
        <v>0</v>
      </c>
      <c r="Q25" s="3203"/>
      <c r="R25" s="3045">
        <f>ROUND(SUM(R21:R24),1)</f>
        <v>0</v>
      </c>
      <c r="S25" s="3027"/>
      <c r="T25" s="3029"/>
      <c r="U25" s="3029"/>
      <c r="V25" s="3030">
        <f>ROUND(SUM(V21:V24),1)</f>
        <v>2487.4</v>
      </c>
      <c r="W25" s="3026"/>
      <c r="X25" s="3030">
        <f>ROUND(SUM(X21:X24),1)</f>
        <v>23373.7</v>
      </c>
      <c r="Y25" s="3046"/>
      <c r="Z25" s="3032"/>
      <c r="AA25" s="3026"/>
      <c r="AB25" s="3030">
        <f>ROUND(SUM(AB21:AB24),1)</f>
        <v>2405.5</v>
      </c>
      <c r="AC25" s="3027"/>
      <c r="AD25" s="3030">
        <f>ROUND(SUM(AD21:AD24),1)</f>
        <v>23980.9</v>
      </c>
      <c r="AE25" s="3026" t="s">
        <v>16</v>
      </c>
      <c r="AF25" s="3033"/>
      <c r="AG25" s="3031"/>
      <c r="AH25" s="3047">
        <f>ROUND(SUM(X25)-SUM(AD25),1)</f>
        <v>-607.20000000000005</v>
      </c>
      <c r="AI25" s="28"/>
      <c r="AJ25" s="3048">
        <f>ROUND(AH25/AD25,3)</f>
        <v>-2.5000000000000001E-2</v>
      </c>
      <c r="AK25" s="3036"/>
      <c r="AL25" s="3037"/>
    </row>
    <row r="26" spans="1:38" ht="18" customHeight="1">
      <c r="A26" s="3005"/>
      <c r="B26" s="3005"/>
      <c r="C26" s="3005"/>
      <c r="D26" s="3049"/>
      <c r="E26" s="1164"/>
      <c r="F26" s="3049"/>
      <c r="G26" s="1162"/>
      <c r="H26" s="3049"/>
      <c r="I26" s="1163"/>
      <c r="J26" s="3204"/>
      <c r="K26" s="1162"/>
      <c r="L26" s="3049"/>
      <c r="M26" s="1163"/>
      <c r="N26" s="3204"/>
      <c r="O26" s="1162"/>
      <c r="P26" s="3049"/>
      <c r="Q26" s="1163"/>
      <c r="R26" s="3204"/>
      <c r="S26" s="1162"/>
      <c r="T26" s="3016"/>
      <c r="U26" s="3016"/>
      <c r="V26" s="3049"/>
      <c r="W26" s="1164"/>
      <c r="X26" s="3049"/>
      <c r="Y26" s="1164"/>
      <c r="Z26" s="3018"/>
      <c r="AA26" s="1164"/>
      <c r="AB26" s="3049"/>
      <c r="AC26" s="1162"/>
      <c r="AD26" s="3204"/>
      <c r="AE26" s="1163"/>
      <c r="AF26" s="3019"/>
      <c r="AG26" s="1164"/>
      <c r="AH26" s="1163"/>
      <c r="AI26" s="1157"/>
      <c r="AJ26" s="3205"/>
      <c r="AK26" s="3042"/>
      <c r="AL26" s="2967"/>
    </row>
    <row r="27" spans="1:38" ht="18" customHeight="1">
      <c r="A27" s="3044" t="s">
        <v>1664</v>
      </c>
      <c r="B27" s="3005"/>
      <c r="C27" s="3013"/>
      <c r="D27" s="1162"/>
      <c r="E27" s="1162"/>
      <c r="F27" s="1162"/>
      <c r="G27" s="1162"/>
      <c r="H27" s="1162"/>
      <c r="I27" s="1161"/>
      <c r="J27" s="1161"/>
      <c r="K27" s="1162"/>
      <c r="L27" s="1162"/>
      <c r="M27" s="1161"/>
      <c r="N27" s="1161"/>
      <c r="O27" s="1162"/>
      <c r="P27" s="1162"/>
      <c r="Q27" s="1161"/>
      <c r="R27" s="1161"/>
      <c r="S27" s="1162"/>
      <c r="T27" s="3016"/>
      <c r="U27" s="3016"/>
      <c r="V27" s="1164"/>
      <c r="W27" s="1164"/>
      <c r="X27" s="1162"/>
      <c r="Y27" s="1162"/>
      <c r="Z27" s="3018"/>
      <c r="AA27" s="1164"/>
      <c r="AB27" s="1162"/>
      <c r="AC27" s="1162"/>
      <c r="AD27" s="1161"/>
      <c r="AE27" s="1161"/>
      <c r="AF27" s="3019"/>
      <c r="AG27" s="1162"/>
      <c r="AH27" s="1161"/>
      <c r="AI27" s="1158"/>
      <c r="AJ27" s="3205"/>
      <c r="AK27" s="3042"/>
      <c r="AL27" s="2967"/>
    </row>
    <row r="28" spans="1:38" ht="18" customHeight="1">
      <c r="A28" s="3005" t="s">
        <v>1242</v>
      </c>
      <c r="B28" s="3005"/>
      <c r="C28" s="3005"/>
      <c r="D28" s="1162">
        <v>465.90000000000009</v>
      </c>
      <c r="E28" s="1161"/>
      <c r="F28" s="1162">
        <v>3534.6</v>
      </c>
      <c r="G28" s="1162"/>
      <c r="H28" s="1162">
        <v>65.199999999999989</v>
      </c>
      <c r="I28" s="1161"/>
      <c r="J28" s="1162">
        <v>523</v>
      </c>
      <c r="K28" s="1162"/>
      <c r="L28" s="3014">
        <v>465.70000000000027</v>
      </c>
      <c r="M28" s="3199"/>
      <c r="N28" s="3014">
        <v>3510.3</v>
      </c>
      <c r="O28" s="1161"/>
      <c r="P28" s="1166">
        <v>0</v>
      </c>
      <c r="Q28" s="3199"/>
      <c r="R28" s="1167">
        <v>0</v>
      </c>
      <c r="S28" s="1162"/>
      <c r="T28" s="3016"/>
      <c r="U28" s="3016"/>
      <c r="V28" s="3014">
        <f t="shared" ref="V28:V34" si="0">SUM(D28)+SUM(H28)+SUM(L28)+SUM(P28)</f>
        <v>996.80000000000041</v>
      </c>
      <c r="W28" s="1164"/>
      <c r="X28" s="3014">
        <f t="shared" ref="X28:X34" si="1">SUM(F28)+SUM(J28)+SUM(N28)+SUM(R28)</f>
        <v>7567.9</v>
      </c>
      <c r="Y28" s="1162"/>
      <c r="Z28" s="3018"/>
      <c r="AA28" s="1164"/>
      <c r="AB28" s="3199">
        <v>956.5</v>
      </c>
      <c r="AC28" s="1162"/>
      <c r="AD28" s="3199">
        <v>7325.4</v>
      </c>
      <c r="AE28" s="3199"/>
      <c r="AF28" s="3206"/>
      <c r="AG28" s="1162"/>
      <c r="AH28" s="1162">
        <f t="shared" ref="AH28:AH35" si="2">ROUND(SUM(X28)-SUM(AD28),1)</f>
        <v>242.5</v>
      </c>
      <c r="AI28" s="3201"/>
      <c r="AJ28" s="3020">
        <f t="shared" ref="AJ28:AJ35" si="3">ROUND(AH28/AD28,3)</f>
        <v>3.3000000000000002E-2</v>
      </c>
      <c r="AK28" s="3011"/>
      <c r="AL28" s="2967"/>
    </row>
    <row r="29" spans="1:38" ht="18" customHeight="1">
      <c r="A29" s="3012" t="s">
        <v>1243</v>
      </c>
      <c r="B29" s="3005"/>
      <c r="C29" s="1319"/>
      <c r="D29" s="1166">
        <v>0</v>
      </c>
      <c r="E29" s="3014"/>
      <c r="F29" s="1167">
        <v>0</v>
      </c>
      <c r="G29" s="1162"/>
      <c r="H29" s="1162">
        <v>0</v>
      </c>
      <c r="I29" s="3199"/>
      <c r="J29" s="1162">
        <v>26.4</v>
      </c>
      <c r="K29" s="1162"/>
      <c r="L29" s="1166">
        <v>0</v>
      </c>
      <c r="M29" s="3199"/>
      <c r="N29" s="1167">
        <v>0</v>
      </c>
      <c r="O29" s="1161"/>
      <c r="P29" s="3039">
        <v>0</v>
      </c>
      <c r="Q29" s="1161"/>
      <c r="R29" s="3039">
        <v>43.5</v>
      </c>
      <c r="S29" s="1162"/>
      <c r="T29" s="3016"/>
      <c r="U29" s="3016"/>
      <c r="V29" s="3014">
        <f t="shared" si="0"/>
        <v>0</v>
      </c>
      <c r="W29" s="1164"/>
      <c r="X29" s="3014">
        <f t="shared" si="1"/>
        <v>69.900000000000006</v>
      </c>
      <c r="Y29" s="3017"/>
      <c r="Z29" s="3018"/>
      <c r="AA29" s="1164"/>
      <c r="AB29" s="3021">
        <v>-0.1</v>
      </c>
      <c r="AC29" s="1162"/>
      <c r="AD29" s="3199">
        <v>65.099999999999994</v>
      </c>
      <c r="AE29" s="3199"/>
      <c r="AF29" s="3019"/>
      <c r="AG29" s="3017"/>
      <c r="AH29" s="3014">
        <f t="shared" si="2"/>
        <v>4.8</v>
      </c>
      <c r="AI29" s="3207"/>
      <c r="AJ29" s="3020">
        <f t="shared" si="3"/>
        <v>7.3999999999999996E-2</v>
      </c>
      <c r="AK29" s="3011"/>
      <c r="AL29" s="2967"/>
    </row>
    <row r="30" spans="1:38" ht="18" customHeight="1">
      <c r="A30" s="3005" t="s">
        <v>1244</v>
      </c>
      <c r="B30" s="3005"/>
      <c r="C30" s="3005"/>
      <c r="D30" s="1162">
        <v>31.099999999999994</v>
      </c>
      <c r="E30" s="1161"/>
      <c r="F30" s="1162">
        <v>225.1</v>
      </c>
      <c r="G30" s="1162"/>
      <c r="H30" s="1162">
        <v>85.799999999999955</v>
      </c>
      <c r="I30" s="3199"/>
      <c r="J30" s="3021">
        <v>598.79999999999995</v>
      </c>
      <c r="K30" s="1162"/>
      <c r="L30" s="1166">
        <v>0</v>
      </c>
      <c r="M30" s="3199"/>
      <c r="N30" s="1167">
        <v>0</v>
      </c>
      <c r="O30" s="1161"/>
      <c r="P30" s="1166">
        <v>0</v>
      </c>
      <c r="Q30" s="3199"/>
      <c r="R30" s="1167">
        <v>0</v>
      </c>
      <c r="S30" s="1162"/>
      <c r="T30" s="3016"/>
      <c r="U30" s="3016"/>
      <c r="V30" s="3014">
        <f t="shared" si="0"/>
        <v>116.89999999999995</v>
      </c>
      <c r="W30" s="1164"/>
      <c r="X30" s="3014">
        <f t="shared" si="1"/>
        <v>823.9</v>
      </c>
      <c r="Y30" s="3017"/>
      <c r="Z30" s="3018"/>
      <c r="AA30" s="1164"/>
      <c r="AB30" s="3202">
        <v>133.30000000000001</v>
      </c>
      <c r="AC30" s="1162"/>
      <c r="AD30" s="3202">
        <v>904.5</v>
      </c>
      <c r="AE30" s="3202"/>
      <c r="AF30" s="3019"/>
      <c r="AG30" s="3017"/>
      <c r="AH30" s="3014">
        <f t="shared" si="2"/>
        <v>-80.599999999999994</v>
      </c>
      <c r="AI30" s="3201"/>
      <c r="AJ30" s="3020">
        <f t="shared" si="3"/>
        <v>-8.8999999999999996E-2</v>
      </c>
      <c r="AK30" s="3011"/>
      <c r="AL30" s="2967"/>
    </row>
    <row r="31" spans="1:38" ht="18" customHeight="1">
      <c r="A31" s="3005" t="s">
        <v>1245</v>
      </c>
      <c r="B31" s="3005"/>
      <c r="C31" s="3005"/>
      <c r="D31" s="1166">
        <v>0</v>
      </c>
      <c r="E31" s="3014"/>
      <c r="F31" s="1167">
        <v>0</v>
      </c>
      <c r="G31" s="1162"/>
      <c r="H31" s="1162">
        <v>9.2000000000000028</v>
      </c>
      <c r="I31" s="3199"/>
      <c r="J31" s="3014">
        <v>62.7</v>
      </c>
      <c r="K31" s="1162"/>
      <c r="L31" s="1166">
        <v>0</v>
      </c>
      <c r="M31" s="3199"/>
      <c r="N31" s="1167">
        <v>0</v>
      </c>
      <c r="O31" s="1161"/>
      <c r="P31" s="1162">
        <v>32.5</v>
      </c>
      <c r="Q31" s="3199"/>
      <c r="R31" s="3014">
        <v>234.8</v>
      </c>
      <c r="S31" s="1162"/>
      <c r="T31" s="3016"/>
      <c r="U31" s="3016"/>
      <c r="V31" s="3014">
        <f t="shared" si="0"/>
        <v>41.7</v>
      </c>
      <c r="W31" s="1164"/>
      <c r="X31" s="3014">
        <f t="shared" si="1"/>
        <v>297.5</v>
      </c>
      <c r="Y31" s="1162"/>
      <c r="Z31" s="3018"/>
      <c r="AA31" s="1164"/>
      <c r="AB31" s="3202">
        <v>41.7</v>
      </c>
      <c r="AC31" s="1162"/>
      <c r="AD31" s="3202">
        <v>288.2</v>
      </c>
      <c r="AE31" s="3199"/>
      <c r="AF31" s="3019"/>
      <c r="AG31" s="1162"/>
      <c r="AH31" s="3014">
        <f t="shared" si="2"/>
        <v>9.3000000000000007</v>
      </c>
      <c r="AI31" s="1158"/>
      <c r="AJ31" s="3020">
        <f t="shared" si="3"/>
        <v>3.2000000000000001E-2</v>
      </c>
      <c r="AK31" s="3011"/>
      <c r="AL31" s="2967"/>
    </row>
    <row r="32" spans="1:38" ht="18" customHeight="1">
      <c r="A32" s="3005" t="s">
        <v>1246</v>
      </c>
      <c r="B32" s="3005"/>
      <c r="C32" s="3005"/>
      <c r="D32" s="1162">
        <v>18.900000000000006</v>
      </c>
      <c r="E32" s="1161"/>
      <c r="F32" s="1162">
        <v>147.30000000000001</v>
      </c>
      <c r="G32" s="1162"/>
      <c r="H32" s="1166">
        <v>0</v>
      </c>
      <c r="I32" s="3199"/>
      <c r="J32" s="3015">
        <v>0</v>
      </c>
      <c r="K32" s="1162"/>
      <c r="L32" s="1166">
        <v>0</v>
      </c>
      <c r="M32" s="3199"/>
      <c r="N32" s="1167">
        <v>0</v>
      </c>
      <c r="O32" s="1161"/>
      <c r="P32" s="1166">
        <v>0</v>
      </c>
      <c r="Q32" s="3199"/>
      <c r="R32" s="1167">
        <v>0</v>
      </c>
      <c r="S32" s="1162"/>
      <c r="T32" s="3016"/>
      <c r="U32" s="3016"/>
      <c r="V32" s="3014">
        <f t="shared" si="0"/>
        <v>18.900000000000006</v>
      </c>
      <c r="W32" s="1164"/>
      <c r="X32" s="3014">
        <f t="shared" si="1"/>
        <v>147.30000000000001</v>
      </c>
      <c r="Y32" s="3017"/>
      <c r="Z32" s="3018"/>
      <c r="AA32" s="1164"/>
      <c r="AB32" s="3202">
        <v>18.600000000000001</v>
      </c>
      <c r="AC32" s="1162"/>
      <c r="AD32" s="3202">
        <v>146.69999999999999</v>
      </c>
      <c r="AE32" s="3199"/>
      <c r="AF32" s="3019"/>
      <c r="AG32" s="3017"/>
      <c r="AH32" s="3014">
        <f t="shared" si="2"/>
        <v>0.6</v>
      </c>
      <c r="AI32" s="3201"/>
      <c r="AJ32" s="3020">
        <f t="shared" si="3"/>
        <v>4.0000000000000001E-3</v>
      </c>
      <c r="AK32" s="3011"/>
      <c r="AL32" s="2967"/>
    </row>
    <row r="33" spans="1:38" ht="18" customHeight="1">
      <c r="A33" s="3005" t="s">
        <v>1247</v>
      </c>
      <c r="B33" s="3005"/>
      <c r="C33" s="3005"/>
      <c r="D33" s="1166">
        <v>0</v>
      </c>
      <c r="E33" s="3014"/>
      <c r="F33" s="1167">
        <v>0</v>
      </c>
      <c r="G33" s="1162"/>
      <c r="H33" s="1166">
        <v>0</v>
      </c>
      <c r="I33" s="3199"/>
      <c r="J33" s="3015">
        <v>0</v>
      </c>
      <c r="K33" s="1162"/>
      <c r="L33" s="1166">
        <v>0</v>
      </c>
      <c r="M33" s="3199"/>
      <c r="N33" s="1167">
        <v>0</v>
      </c>
      <c r="O33" s="1162"/>
      <c r="P33" s="1162">
        <v>13.700000000000003</v>
      </c>
      <c r="Q33" s="3199"/>
      <c r="R33" s="3014">
        <v>84.3</v>
      </c>
      <c r="S33" s="1162"/>
      <c r="T33" s="3016"/>
      <c r="U33" s="3016"/>
      <c r="V33" s="3014">
        <f t="shared" si="0"/>
        <v>13.700000000000003</v>
      </c>
      <c r="W33" s="1164"/>
      <c r="X33" s="3014">
        <f t="shared" si="1"/>
        <v>84.3</v>
      </c>
      <c r="Y33" s="3017"/>
      <c r="Z33" s="3018"/>
      <c r="AA33" s="1164"/>
      <c r="AB33" s="3202">
        <v>14</v>
      </c>
      <c r="AC33" s="1162"/>
      <c r="AD33" s="3202">
        <v>83.7</v>
      </c>
      <c r="AE33" s="3202"/>
      <c r="AF33" s="3019"/>
      <c r="AG33" s="3017"/>
      <c r="AH33" s="3015">
        <f t="shared" si="2"/>
        <v>0.6</v>
      </c>
      <c r="AI33" s="3207"/>
      <c r="AJ33" s="3020">
        <f t="shared" si="3"/>
        <v>7.0000000000000001E-3</v>
      </c>
      <c r="AK33" s="3011"/>
      <c r="AL33" s="2967"/>
    </row>
    <row r="34" spans="1:38" ht="18" customHeight="1">
      <c r="A34" s="3012" t="s">
        <v>1248</v>
      </c>
      <c r="B34" s="3005"/>
      <c r="C34" s="3005"/>
      <c r="D34" s="1166">
        <v>0</v>
      </c>
      <c r="E34" s="1163"/>
      <c r="F34" s="1166">
        <v>0</v>
      </c>
      <c r="G34" s="1162"/>
      <c r="H34" s="3050">
        <v>18.799999999999997</v>
      </c>
      <c r="I34" s="3199"/>
      <c r="J34" s="3014">
        <v>62</v>
      </c>
      <c r="K34" s="1162"/>
      <c r="L34" s="1166">
        <v>0</v>
      </c>
      <c r="M34" s="3199"/>
      <c r="N34" s="1167">
        <v>0</v>
      </c>
      <c r="O34" s="1162"/>
      <c r="P34" s="1166">
        <v>0</v>
      </c>
      <c r="Q34" s="1163"/>
      <c r="R34" s="1167">
        <v>0</v>
      </c>
      <c r="S34" s="1162"/>
      <c r="T34" s="3016"/>
      <c r="U34" s="3016"/>
      <c r="V34" s="3014">
        <f t="shared" si="0"/>
        <v>18.799999999999997</v>
      </c>
      <c r="W34" s="1164"/>
      <c r="X34" s="3014">
        <f t="shared" si="1"/>
        <v>62</v>
      </c>
      <c r="Y34" s="3051"/>
      <c r="Z34" s="3018"/>
      <c r="AA34" s="1164"/>
      <c r="AB34" s="3202">
        <v>19.899999999999999</v>
      </c>
      <c r="AC34" s="1162"/>
      <c r="AD34" s="3202">
        <v>62.1</v>
      </c>
      <c r="AE34" s="3202"/>
      <c r="AF34" s="3206"/>
      <c r="AG34" s="3017"/>
      <c r="AH34" s="3023">
        <f t="shared" si="2"/>
        <v>-0.1</v>
      </c>
      <c r="AI34" s="3201"/>
      <c r="AJ34" s="3043">
        <f t="shared" si="3"/>
        <v>-2E-3</v>
      </c>
      <c r="AK34" s="3011"/>
      <c r="AL34" s="2967"/>
    </row>
    <row r="35" spans="1:38" ht="18" customHeight="1">
      <c r="A35" s="3004" t="s">
        <v>1249</v>
      </c>
      <c r="B35" s="3005"/>
      <c r="C35" s="3005"/>
      <c r="D35" s="3045">
        <f>ROUND(SUM(D28:D34),1)</f>
        <v>515.9</v>
      </c>
      <c r="E35" s="3026"/>
      <c r="F35" s="3045">
        <f>ROUND(SUM(F28:F34),1)</f>
        <v>3907</v>
      </c>
      <c r="G35" s="3027"/>
      <c r="H35" s="3045">
        <f>ROUND(SUM(H28:H34),1)</f>
        <v>179</v>
      </c>
      <c r="I35" s="3026"/>
      <c r="J35" s="3045">
        <f>ROUND(SUM(J28:J34),1)</f>
        <v>1272.9000000000001</v>
      </c>
      <c r="K35" s="3027"/>
      <c r="L35" s="3045">
        <f>ROUND(SUM(L28:L34),1)</f>
        <v>465.7</v>
      </c>
      <c r="M35" s="3026"/>
      <c r="N35" s="3045">
        <f>ROUND(SUM(N28:N34),1)</f>
        <v>3510.3</v>
      </c>
      <c r="O35" s="3027"/>
      <c r="P35" s="3045">
        <f>ROUND(SUM(P28:P34),1)</f>
        <v>46.2</v>
      </c>
      <c r="Q35" s="3026"/>
      <c r="R35" s="3045">
        <f>ROUND(SUM(R28:R34),1)</f>
        <v>362.6</v>
      </c>
      <c r="S35" s="3027"/>
      <c r="T35" s="3029"/>
      <c r="U35" s="3029"/>
      <c r="V35" s="3045">
        <f>ROUND(SUM(V28:V34),1)</f>
        <v>1206.8</v>
      </c>
      <c r="W35" s="3026"/>
      <c r="X35" s="3045">
        <f>ROUND(SUM(X28:X34),1)</f>
        <v>9052.7999999999993</v>
      </c>
      <c r="Y35" s="3052"/>
      <c r="Z35" s="3032"/>
      <c r="AA35" s="3026"/>
      <c r="AB35" s="3045">
        <f>ROUND(SUM(AB28:AB34),1)</f>
        <v>1183.9000000000001</v>
      </c>
      <c r="AC35" s="3027"/>
      <c r="AD35" s="3045">
        <f>ROUND(SUM(AD28:AD34),1)</f>
        <v>8875.7000000000007</v>
      </c>
      <c r="AE35" s="69"/>
      <c r="AF35" s="3033"/>
      <c r="AG35" s="3026"/>
      <c r="AH35" s="3047">
        <f t="shared" si="2"/>
        <v>177.1</v>
      </c>
      <c r="AI35" s="18"/>
      <c r="AJ35" s="3048">
        <f t="shared" si="3"/>
        <v>0.02</v>
      </c>
      <c r="AK35" s="3036"/>
      <c r="AL35" s="3037"/>
    </row>
    <row r="36" spans="1:38" ht="18" customHeight="1">
      <c r="A36" s="3005"/>
      <c r="B36" s="3005"/>
      <c r="C36" s="3005"/>
      <c r="D36" s="3049"/>
      <c r="E36" s="1164"/>
      <c r="F36" s="3049"/>
      <c r="G36" s="1162"/>
      <c r="H36" s="3049"/>
      <c r="I36" s="1164"/>
      <c r="J36" s="3049"/>
      <c r="K36" s="1162"/>
      <c r="L36" s="3049"/>
      <c r="M36" s="1164"/>
      <c r="N36" s="3049"/>
      <c r="O36" s="1162"/>
      <c r="P36" s="3049"/>
      <c r="Q36" s="1164"/>
      <c r="R36" s="3049"/>
      <c r="S36" s="1162"/>
      <c r="T36" s="3016"/>
      <c r="U36" s="3016"/>
      <c r="V36" s="3049"/>
      <c r="W36" s="1164"/>
      <c r="X36" s="3049"/>
      <c r="Y36" s="1164"/>
      <c r="Z36" s="3018"/>
      <c r="AA36" s="1164"/>
      <c r="AB36" s="3049"/>
      <c r="AC36" s="1162"/>
      <c r="AD36" s="3204"/>
      <c r="AE36" s="1163"/>
      <c r="AF36" s="3019"/>
      <c r="AG36" s="1164"/>
      <c r="AH36" s="1163"/>
      <c r="AI36" s="1157"/>
      <c r="AJ36" s="3205"/>
      <c r="AK36" s="3042"/>
      <c r="AL36" s="2967"/>
    </row>
    <row r="37" spans="1:38" ht="18" customHeight="1">
      <c r="A37" s="3004" t="s">
        <v>1665</v>
      </c>
      <c r="B37" s="3005"/>
      <c r="C37" s="3005"/>
      <c r="D37" s="1162"/>
      <c r="E37" s="1162"/>
      <c r="F37" s="1162"/>
      <c r="G37" s="1162"/>
      <c r="H37" s="1162"/>
      <c r="I37" s="1162"/>
      <c r="J37" s="1162"/>
      <c r="K37" s="1162"/>
      <c r="L37" s="1162"/>
      <c r="M37" s="1162"/>
      <c r="N37" s="1162"/>
      <c r="O37" s="1162"/>
      <c r="P37" s="1162"/>
      <c r="Q37" s="1162"/>
      <c r="R37" s="1162"/>
      <c r="S37" s="1162"/>
      <c r="T37" s="3016"/>
      <c r="U37" s="3016"/>
      <c r="V37" s="1164"/>
      <c r="W37" s="1164"/>
      <c r="X37" s="1162"/>
      <c r="Y37" s="1162"/>
      <c r="Z37" s="3018"/>
      <c r="AA37" s="1164"/>
      <c r="AB37" s="1160"/>
      <c r="AC37" s="1162"/>
      <c r="AD37" s="1160"/>
      <c r="AE37" s="1161"/>
      <c r="AF37" s="3019"/>
      <c r="AG37" s="1162"/>
      <c r="AH37" s="1162"/>
      <c r="AI37" s="1158"/>
      <c r="AJ37" s="3020"/>
      <c r="AK37" s="3042"/>
      <c r="AL37" s="2967"/>
    </row>
    <row r="38" spans="1:38" ht="18" customHeight="1">
      <c r="A38" s="3005" t="s">
        <v>1250</v>
      </c>
      <c r="B38" s="3005"/>
      <c r="C38" s="3005"/>
      <c r="D38" s="1162">
        <v>68.400000000000091</v>
      </c>
      <c r="E38" s="1161"/>
      <c r="F38" s="1162">
        <v>1122</v>
      </c>
      <c r="G38" s="1162"/>
      <c r="H38" s="1162">
        <v>12.700000000000017</v>
      </c>
      <c r="I38" s="1162"/>
      <c r="J38" s="1162">
        <v>222.9</v>
      </c>
      <c r="K38" s="1162"/>
      <c r="L38" s="1166">
        <v>0</v>
      </c>
      <c r="M38" s="3014"/>
      <c r="N38" s="3015">
        <v>0</v>
      </c>
      <c r="O38" s="1162"/>
      <c r="P38" s="1166">
        <v>0</v>
      </c>
      <c r="Q38" s="3014"/>
      <c r="R38" s="3015">
        <v>0</v>
      </c>
      <c r="S38" s="1162"/>
      <c r="T38" s="3016"/>
      <c r="U38" s="3016"/>
      <c r="V38" s="3014">
        <f>SUM(D38)+SUM(H38)+SUM(L38)+SUM(P38)</f>
        <v>81.100000000000108</v>
      </c>
      <c r="W38" s="1164"/>
      <c r="X38" s="3014">
        <f>SUM(F38)+SUM(J38)+SUM(N38)+SUM(R38)</f>
        <v>1344.9</v>
      </c>
      <c r="Y38" s="1162"/>
      <c r="Z38" s="3018"/>
      <c r="AA38" s="1164"/>
      <c r="AB38" s="3202">
        <v>109.4</v>
      </c>
      <c r="AC38" s="1162"/>
      <c r="AD38" s="3202">
        <v>1682.1</v>
      </c>
      <c r="AE38" s="3199"/>
      <c r="AF38" s="3206"/>
      <c r="AG38" s="1162"/>
      <c r="AH38" s="3014">
        <f t="shared" ref="AH38:AH43" si="4">ROUND(SUM(X38)-SUM(AD38),1)</f>
        <v>-337.2</v>
      </c>
      <c r="AI38" s="3201"/>
      <c r="AJ38" s="3020">
        <f t="shared" ref="AJ38:AJ43" si="5">ROUND(AH38/AD38,3)</f>
        <v>-0.2</v>
      </c>
      <c r="AK38" s="3011"/>
      <c r="AL38" s="2967"/>
    </row>
    <row r="39" spans="1:38" ht="18" customHeight="1">
      <c r="A39" s="3005" t="s">
        <v>1251</v>
      </c>
      <c r="B39" s="3005"/>
      <c r="C39" s="3005"/>
      <c r="D39" s="3050">
        <v>2.5</v>
      </c>
      <c r="E39" s="1161"/>
      <c r="F39" s="1162">
        <v>235.5</v>
      </c>
      <c r="G39" s="1162"/>
      <c r="H39" s="3050">
        <v>1.1999999999999886</v>
      </c>
      <c r="I39" s="1162"/>
      <c r="J39" s="1162">
        <v>66.099999999999994</v>
      </c>
      <c r="K39" s="1162"/>
      <c r="L39" s="1166">
        <v>0</v>
      </c>
      <c r="M39" s="3014"/>
      <c r="N39" s="3015">
        <v>0</v>
      </c>
      <c r="O39" s="1162"/>
      <c r="P39" s="1162">
        <v>0.10000000000000053</v>
      </c>
      <c r="Q39" s="3014"/>
      <c r="R39" s="3014">
        <v>4.7</v>
      </c>
      <c r="S39" s="1162"/>
      <c r="T39" s="3016"/>
      <c r="U39" s="3016"/>
      <c r="V39" s="3014">
        <f>SUM(D39)+SUM(H39)+SUM(L39)+SUM(P39)</f>
        <v>3.7999999999999892</v>
      </c>
      <c r="W39" s="1164"/>
      <c r="X39" s="3014">
        <f>SUM(F39)+SUM(J39)+SUM(N39)+SUM(R39)</f>
        <v>306.3</v>
      </c>
      <c r="Y39" s="1162"/>
      <c r="Z39" s="3018"/>
      <c r="AA39" s="1164"/>
      <c r="AB39" s="3202">
        <v>-32</v>
      </c>
      <c r="AC39" s="1162"/>
      <c r="AD39" s="3202">
        <v>292</v>
      </c>
      <c r="AE39" s="3199"/>
      <c r="AF39" s="3206"/>
      <c r="AG39" s="1162"/>
      <c r="AH39" s="3014">
        <f t="shared" si="4"/>
        <v>14.3</v>
      </c>
      <c r="AI39" s="3201"/>
      <c r="AJ39" s="3020">
        <f t="shared" si="5"/>
        <v>4.9000000000000002E-2</v>
      </c>
      <c r="AK39" s="3011"/>
      <c r="AL39" s="2967"/>
    </row>
    <row r="40" spans="1:38" ht="18" customHeight="1">
      <c r="A40" s="3005" t="s">
        <v>1252</v>
      </c>
      <c r="B40" s="3005"/>
      <c r="C40" s="3005"/>
      <c r="D40" s="1162">
        <v>0</v>
      </c>
      <c r="E40" s="1161"/>
      <c r="F40" s="1162">
        <v>534.4</v>
      </c>
      <c r="G40" s="1162"/>
      <c r="H40" s="1162">
        <v>-2.5</v>
      </c>
      <c r="I40" s="1162"/>
      <c r="J40" s="1162">
        <v>60.3</v>
      </c>
      <c r="K40" s="1162"/>
      <c r="L40" s="1166">
        <v>0</v>
      </c>
      <c r="M40" s="3014"/>
      <c r="N40" s="3015">
        <v>0</v>
      </c>
      <c r="O40" s="1162"/>
      <c r="P40" s="1166">
        <v>0</v>
      </c>
      <c r="Q40" s="3014"/>
      <c r="R40" s="3015">
        <v>0</v>
      </c>
      <c r="S40" s="1162"/>
      <c r="T40" s="3016"/>
      <c r="U40" s="3016"/>
      <c r="V40" s="3014">
        <f>SUM(D40)+SUM(H40)+SUM(L40)+SUM(P40)</f>
        <v>-2.5</v>
      </c>
      <c r="W40" s="1164"/>
      <c r="X40" s="3014">
        <f>SUM(F40)+SUM(J40)+SUM(N40)+SUM(R40)</f>
        <v>594.69999999999993</v>
      </c>
      <c r="Y40" s="1162"/>
      <c r="Z40" s="3018"/>
      <c r="AA40" s="1164"/>
      <c r="AB40" s="3202">
        <v>6.8</v>
      </c>
      <c r="AC40" s="1162"/>
      <c r="AD40" s="3202">
        <v>589.29999999999995</v>
      </c>
      <c r="AE40" s="3199"/>
      <c r="AF40" s="3206"/>
      <c r="AG40" s="1162"/>
      <c r="AH40" s="3014">
        <f t="shared" si="4"/>
        <v>5.4</v>
      </c>
      <c r="AI40" s="3201"/>
      <c r="AJ40" s="3020">
        <f t="shared" si="5"/>
        <v>8.9999999999999993E-3</v>
      </c>
      <c r="AK40" s="3011"/>
      <c r="AL40" s="2967"/>
    </row>
    <row r="41" spans="1:38" ht="18" customHeight="1">
      <c r="A41" s="3005" t="s">
        <v>1253</v>
      </c>
      <c r="B41" s="3005"/>
      <c r="C41" s="3005"/>
      <c r="D41" s="1162">
        <v>16.100000000000023</v>
      </c>
      <c r="E41" s="1161"/>
      <c r="F41" s="1162">
        <v>919.1</v>
      </c>
      <c r="G41" s="1162"/>
      <c r="H41" s="1162">
        <v>-15.799999999999983</v>
      </c>
      <c r="I41" s="1162"/>
      <c r="J41" s="1162">
        <v>131.9</v>
      </c>
      <c r="K41" s="1162"/>
      <c r="L41" s="1166">
        <v>0</v>
      </c>
      <c r="M41" s="3014"/>
      <c r="N41" s="3015">
        <v>0</v>
      </c>
      <c r="O41" s="1162"/>
      <c r="P41" s="1166">
        <v>0</v>
      </c>
      <c r="Q41" s="3014"/>
      <c r="R41" s="3015">
        <v>0</v>
      </c>
      <c r="S41" s="1162"/>
      <c r="T41" s="3016"/>
      <c r="U41" s="3016"/>
      <c r="V41" s="3014">
        <f>SUM(D41)+SUM(H41)+SUM(L41)+SUM(P41)</f>
        <v>0.30000000000003979</v>
      </c>
      <c r="W41" s="1164"/>
      <c r="X41" s="3014">
        <f>SUM(F41)+SUM(J41)+SUM(N41)+SUM(R41)</f>
        <v>1051</v>
      </c>
      <c r="Y41" s="1162"/>
      <c r="Z41" s="3018"/>
      <c r="AA41" s="1164"/>
      <c r="AB41" s="3199">
        <v>33.700000000000003</v>
      </c>
      <c r="AC41" s="1162"/>
      <c r="AD41" s="3199">
        <v>537.29999999999995</v>
      </c>
      <c r="AE41" s="3199"/>
      <c r="AF41" s="3206"/>
      <c r="AG41" s="1162"/>
      <c r="AH41" s="3014">
        <f t="shared" si="4"/>
        <v>513.70000000000005</v>
      </c>
      <c r="AI41" s="3201"/>
      <c r="AJ41" s="3020">
        <f t="shared" si="5"/>
        <v>0.95599999999999996</v>
      </c>
      <c r="AK41" s="3011"/>
      <c r="AL41" s="2967"/>
    </row>
    <row r="42" spans="1:38" ht="18" customHeight="1">
      <c r="A42" s="3005" t="s">
        <v>1254</v>
      </c>
      <c r="B42" s="3005"/>
      <c r="C42" s="3005"/>
      <c r="D42" s="1166">
        <v>0</v>
      </c>
      <c r="E42" s="3014"/>
      <c r="F42" s="3015">
        <v>0</v>
      </c>
      <c r="G42" s="1162"/>
      <c r="H42" s="1162">
        <v>41.800000000000011</v>
      </c>
      <c r="I42" s="3014"/>
      <c r="J42" s="3014">
        <v>314.2</v>
      </c>
      <c r="K42" s="1162"/>
      <c r="L42" s="1166">
        <v>0</v>
      </c>
      <c r="M42" s="3014"/>
      <c r="N42" s="3015">
        <v>0</v>
      </c>
      <c r="O42" s="1162"/>
      <c r="P42" s="1162">
        <v>52.900000000000034</v>
      </c>
      <c r="Q42" s="3014"/>
      <c r="R42" s="3014">
        <v>393.3</v>
      </c>
      <c r="S42" s="1162"/>
      <c r="T42" s="3016"/>
      <c r="U42" s="3016"/>
      <c r="V42" s="3014">
        <f>SUM(D42)+SUM(H42)+SUM(L42)+SUM(P42)</f>
        <v>94.700000000000045</v>
      </c>
      <c r="W42" s="1164"/>
      <c r="X42" s="3014">
        <f>SUM(F42)+SUM(J42)+SUM(N42)+SUM(R42)</f>
        <v>707.5</v>
      </c>
      <c r="Y42" s="1162"/>
      <c r="Z42" s="3018"/>
      <c r="AA42" s="1164"/>
      <c r="AB42" s="3199">
        <v>92.7</v>
      </c>
      <c r="AC42" s="1162"/>
      <c r="AD42" s="3199">
        <v>695.4</v>
      </c>
      <c r="AE42" s="3199"/>
      <c r="AF42" s="3206"/>
      <c r="AG42" s="1162"/>
      <c r="AH42" s="3014">
        <f t="shared" si="4"/>
        <v>12.1</v>
      </c>
      <c r="AI42" s="3207"/>
      <c r="AJ42" s="3020">
        <f t="shared" si="5"/>
        <v>1.7000000000000001E-2</v>
      </c>
      <c r="AK42" s="3011"/>
      <c r="AL42" s="2967"/>
    </row>
    <row r="43" spans="1:38" ht="18" customHeight="1">
      <c r="A43" s="3004" t="s">
        <v>1249</v>
      </c>
      <c r="B43" s="3005"/>
      <c r="C43" s="3005"/>
      <c r="D43" s="3045">
        <f>ROUND(SUM(D38:D42),1)</f>
        <v>87</v>
      </c>
      <c r="E43" s="3026"/>
      <c r="F43" s="3045">
        <f>ROUND(SUM(F38:F42),1)</f>
        <v>2811</v>
      </c>
      <c r="G43" s="3027"/>
      <c r="H43" s="3045">
        <f>ROUND(SUM(H38:H42),1)</f>
        <v>37.4</v>
      </c>
      <c r="I43" s="3026"/>
      <c r="J43" s="3045">
        <f>ROUND(SUM(J38:J42),1)</f>
        <v>795.4</v>
      </c>
      <c r="K43" s="3027"/>
      <c r="L43" s="3054">
        <f>ROUND(SUM(L38:L42),1)</f>
        <v>0</v>
      </c>
      <c r="M43" s="3028"/>
      <c r="N43" s="3054">
        <f>ROUND(SUM(N38:N42),1)</f>
        <v>0</v>
      </c>
      <c r="O43" s="3027"/>
      <c r="P43" s="3045">
        <f>ROUND(SUM(P38:P42),1)</f>
        <v>53</v>
      </c>
      <c r="Q43" s="3026"/>
      <c r="R43" s="3045">
        <f>ROUND(SUM(R38:R42),1)</f>
        <v>398</v>
      </c>
      <c r="S43" s="3027"/>
      <c r="T43" s="3029"/>
      <c r="U43" s="3029"/>
      <c r="V43" s="3045">
        <f>ROUND(SUM(V38:V42),1)</f>
        <v>177.4</v>
      </c>
      <c r="W43" s="3026"/>
      <c r="X43" s="3045">
        <f>ROUND(SUM(X38:X42),1)</f>
        <v>4004.4</v>
      </c>
      <c r="Y43" s="3052"/>
      <c r="Z43" s="3032"/>
      <c r="AA43" s="3026"/>
      <c r="AB43" s="3045">
        <f>ROUND(SUM(AB38:AB42),1)</f>
        <v>210.6</v>
      </c>
      <c r="AC43" s="3027"/>
      <c r="AD43" s="3045">
        <f>ROUND(SUM(AD38:AD42),1)</f>
        <v>3796.1</v>
      </c>
      <c r="AE43" s="69"/>
      <c r="AF43" s="3033"/>
      <c r="AG43" s="3026"/>
      <c r="AH43" s="3055">
        <f t="shared" si="4"/>
        <v>208.3</v>
      </c>
      <c r="AI43" s="18"/>
      <c r="AJ43" s="3048">
        <f t="shared" si="5"/>
        <v>5.5E-2</v>
      </c>
      <c r="AK43" s="3036"/>
      <c r="AL43" s="3037"/>
    </row>
    <row r="44" spans="1:38" ht="18" customHeight="1">
      <c r="A44" s="3005"/>
      <c r="B44" s="3005"/>
      <c r="C44" s="3005"/>
      <c r="D44" s="3049"/>
      <c r="E44" s="1164"/>
      <c r="F44" s="3049"/>
      <c r="G44" s="1162"/>
      <c r="H44" s="3049"/>
      <c r="I44" s="1163"/>
      <c r="J44" s="3204"/>
      <c r="K44" s="1162"/>
      <c r="L44" s="3049"/>
      <c r="M44" s="1163"/>
      <c r="N44" s="3204"/>
      <c r="O44" s="1162"/>
      <c r="P44" s="3049"/>
      <c r="Q44" s="1163"/>
      <c r="R44" s="3204"/>
      <c r="S44" s="1162"/>
      <c r="T44" s="3016"/>
      <c r="U44" s="3016"/>
      <c r="V44" s="3049"/>
      <c r="W44" s="1164"/>
      <c r="X44" s="3049"/>
      <c r="Y44" s="1164"/>
      <c r="Z44" s="3018"/>
      <c r="AA44" s="1164"/>
      <c r="AB44" s="3049"/>
      <c r="AC44" s="1162"/>
      <c r="AD44" s="3204"/>
      <c r="AE44" s="1163"/>
      <c r="AF44" s="3019"/>
      <c r="AG44" s="1164"/>
      <c r="AH44" s="1163"/>
      <c r="AI44" s="1157"/>
      <c r="AJ44" s="3205"/>
      <c r="AK44" s="3042"/>
      <c r="AL44" s="2967"/>
    </row>
    <row r="45" spans="1:38" ht="18" customHeight="1">
      <c r="A45" s="3044" t="s">
        <v>1666</v>
      </c>
      <c r="B45" s="3005"/>
      <c r="C45" s="3005"/>
      <c r="D45" s="1162"/>
      <c r="E45" s="1162"/>
      <c r="F45" s="1162"/>
      <c r="G45" s="1162"/>
      <c r="H45" s="1162"/>
      <c r="I45" s="1161"/>
      <c r="J45" s="1161"/>
      <c r="K45" s="1162"/>
      <c r="L45" s="1162"/>
      <c r="M45" s="1161"/>
      <c r="N45" s="1161"/>
      <c r="O45" s="1162"/>
      <c r="P45" s="1162"/>
      <c r="Q45" s="1161"/>
      <c r="R45" s="1161"/>
      <c r="S45" s="1162"/>
      <c r="T45" s="3016"/>
      <c r="U45" s="3016"/>
      <c r="V45" s="1164"/>
      <c r="W45" s="1164"/>
      <c r="X45" s="1162"/>
      <c r="Y45" s="1162"/>
      <c r="Z45" s="3018"/>
      <c r="AA45" s="1164"/>
      <c r="AB45" s="1164"/>
      <c r="AC45" s="1162"/>
      <c r="AD45" s="1161"/>
      <c r="AE45" s="1161"/>
      <c r="AF45" s="3019"/>
      <c r="AG45" s="1162"/>
      <c r="AH45" s="1162"/>
      <c r="AI45" s="1158"/>
      <c r="AJ45" s="3020"/>
      <c r="AK45" s="3042"/>
      <c r="AL45" s="2967"/>
    </row>
    <row r="46" spans="1:38" ht="18" customHeight="1">
      <c r="A46" s="3005" t="s">
        <v>1255</v>
      </c>
      <c r="B46" s="3005"/>
      <c r="C46" s="3005"/>
      <c r="D46" s="1166">
        <v>0</v>
      </c>
      <c r="E46" s="1161"/>
      <c r="F46" s="1162">
        <v>0</v>
      </c>
      <c r="G46" s="1162"/>
      <c r="H46" s="1166">
        <v>0</v>
      </c>
      <c r="I46" s="3199"/>
      <c r="J46" s="3015">
        <v>0</v>
      </c>
      <c r="K46" s="1161"/>
      <c r="L46" s="1166">
        <v>0</v>
      </c>
      <c r="M46" s="3199"/>
      <c r="N46" s="1167">
        <v>0</v>
      </c>
      <c r="O46" s="1161"/>
      <c r="P46" s="1166">
        <v>0</v>
      </c>
      <c r="Q46" s="3199"/>
      <c r="R46" s="1167">
        <v>0</v>
      </c>
      <c r="S46" s="1162"/>
      <c r="T46" s="3016"/>
      <c r="U46" s="3016"/>
      <c r="V46" s="3015">
        <f t="shared" ref="V46:V51" si="6">SUM(D46)+SUM(H46)+SUM(L46)+SUM(P46)</f>
        <v>0</v>
      </c>
      <c r="W46" s="1164"/>
      <c r="X46" s="3014">
        <f t="shared" ref="X46:X51" si="7">SUM(F46)+SUM(J46)+SUM(N46)+SUM(R46)</f>
        <v>0</v>
      </c>
      <c r="Y46" s="3017"/>
      <c r="Z46" s="3018"/>
      <c r="AA46" s="1164"/>
      <c r="AB46" s="3021">
        <v>0</v>
      </c>
      <c r="AC46" s="1162"/>
      <c r="AD46" s="3015">
        <v>-0.2</v>
      </c>
      <c r="AE46" s="3199"/>
      <c r="AF46" s="3206"/>
      <c r="AG46" s="3017"/>
      <c r="AH46" s="3014">
        <f t="shared" ref="AH46:AH52" si="8">ROUND(SUM(X46)-SUM(AD46),1)</f>
        <v>0.2</v>
      </c>
      <c r="AI46" s="3201"/>
      <c r="AJ46" s="3249">
        <f>ROUND(IF(AD46=0,0,-AH46/(AD46)),3)</f>
        <v>1</v>
      </c>
      <c r="AK46" s="3011"/>
      <c r="AL46" s="2967"/>
    </row>
    <row r="47" spans="1:38" ht="18" customHeight="1">
      <c r="A47" s="3005" t="s">
        <v>1256</v>
      </c>
      <c r="B47" s="3005"/>
      <c r="C47" s="3005"/>
      <c r="D47" s="1162">
        <v>104.39999999999998</v>
      </c>
      <c r="E47" s="1161"/>
      <c r="F47" s="1162">
        <v>665.9</v>
      </c>
      <c r="G47" s="1162"/>
      <c r="H47" s="1166">
        <v>0</v>
      </c>
      <c r="I47" s="3199"/>
      <c r="J47" s="3015">
        <v>0</v>
      </c>
      <c r="K47" s="1161"/>
      <c r="L47" s="1166">
        <v>0</v>
      </c>
      <c r="M47" s="3199"/>
      <c r="N47" s="1167">
        <v>0</v>
      </c>
      <c r="O47" s="1161"/>
      <c r="P47" s="1166">
        <v>0</v>
      </c>
      <c r="Q47" s="3199"/>
      <c r="R47" s="1167">
        <v>0</v>
      </c>
      <c r="S47" s="1162"/>
      <c r="T47" s="3016"/>
      <c r="U47" s="3016"/>
      <c r="V47" s="3014">
        <f t="shared" si="6"/>
        <v>104.39999999999998</v>
      </c>
      <c r="W47" s="1164"/>
      <c r="X47" s="3014">
        <f t="shared" si="7"/>
        <v>665.9</v>
      </c>
      <c r="Y47" s="3017"/>
      <c r="Z47" s="3018"/>
      <c r="AA47" s="1164"/>
      <c r="AB47" s="3202">
        <v>198.1</v>
      </c>
      <c r="AC47" s="1162"/>
      <c r="AD47" s="3202">
        <v>791.6</v>
      </c>
      <c r="AE47" s="3202"/>
      <c r="AF47" s="3206"/>
      <c r="AG47" s="3017"/>
      <c r="AH47" s="3014">
        <f t="shared" si="8"/>
        <v>-125.7</v>
      </c>
      <c r="AI47" s="3201"/>
      <c r="AJ47" s="3020">
        <f>ROUND(AH47/AD47,3)</f>
        <v>-0.159</v>
      </c>
      <c r="AK47" s="3011"/>
      <c r="AL47" s="2967"/>
    </row>
    <row r="48" spans="1:38" ht="18" customHeight="1">
      <c r="A48" s="3005" t="s">
        <v>1257</v>
      </c>
      <c r="B48" s="3005"/>
      <c r="C48" s="3005"/>
      <c r="D48" s="1162">
        <v>1.4000000000000004</v>
      </c>
      <c r="E48" s="1161"/>
      <c r="F48" s="1162">
        <v>12.4</v>
      </c>
      <c r="G48" s="1162"/>
      <c r="H48" s="1166">
        <v>0</v>
      </c>
      <c r="I48" s="3199"/>
      <c r="J48" s="3015">
        <v>0</v>
      </c>
      <c r="K48" s="1161"/>
      <c r="L48" s="1166">
        <v>0</v>
      </c>
      <c r="M48" s="3199"/>
      <c r="N48" s="1167">
        <v>0</v>
      </c>
      <c r="O48" s="1161"/>
      <c r="P48" s="1166">
        <v>0</v>
      </c>
      <c r="Q48" s="3199"/>
      <c r="R48" s="1167">
        <v>0</v>
      </c>
      <c r="S48" s="1162"/>
      <c r="T48" s="3016"/>
      <c r="U48" s="3016"/>
      <c r="V48" s="3014">
        <f t="shared" si="6"/>
        <v>1.4000000000000004</v>
      </c>
      <c r="W48" s="1164"/>
      <c r="X48" s="3014">
        <f t="shared" si="7"/>
        <v>12.4</v>
      </c>
      <c r="Y48" s="3017"/>
      <c r="Z48" s="3018"/>
      <c r="AA48" s="1164"/>
      <c r="AB48" s="3202">
        <v>1.3</v>
      </c>
      <c r="AC48" s="1162"/>
      <c r="AD48" s="3202">
        <v>11</v>
      </c>
      <c r="AE48" s="3202"/>
      <c r="AF48" s="3206"/>
      <c r="AG48" s="3017"/>
      <c r="AH48" s="3014">
        <f t="shared" si="8"/>
        <v>1.4</v>
      </c>
      <c r="AI48" s="3201"/>
      <c r="AJ48" s="3020">
        <f>ROUND(AH48/AD48,3)</f>
        <v>0.127</v>
      </c>
      <c r="AK48" s="3011"/>
      <c r="AL48" s="2967"/>
    </row>
    <row r="49" spans="1:38" ht="18" customHeight="1">
      <c r="A49" s="3005" t="s">
        <v>1258</v>
      </c>
      <c r="B49" s="3005"/>
      <c r="C49" s="3005"/>
      <c r="D49" s="1166">
        <v>0</v>
      </c>
      <c r="E49" s="3014"/>
      <c r="F49" s="1167">
        <v>0</v>
      </c>
      <c r="G49" s="1162"/>
      <c r="H49" s="1166">
        <v>0</v>
      </c>
      <c r="I49" s="3199"/>
      <c r="J49" s="3015">
        <v>0</v>
      </c>
      <c r="K49" s="1161"/>
      <c r="L49" s="3014">
        <v>80.800000000000011</v>
      </c>
      <c r="M49" s="3199"/>
      <c r="N49" s="3014">
        <v>533.6</v>
      </c>
      <c r="O49" s="1161"/>
      <c r="P49" s="3039">
        <v>12</v>
      </c>
      <c r="Q49" s="3199"/>
      <c r="R49" s="3021">
        <v>59.6</v>
      </c>
      <c r="S49" s="1162"/>
      <c r="T49" s="3016"/>
      <c r="U49" s="3016"/>
      <c r="V49" s="3014">
        <f t="shared" si="6"/>
        <v>92.800000000000011</v>
      </c>
      <c r="W49" s="1164"/>
      <c r="X49" s="3014">
        <f t="shared" si="7"/>
        <v>593.20000000000005</v>
      </c>
      <c r="Y49" s="3017"/>
      <c r="Z49" s="3018"/>
      <c r="AA49" s="1164"/>
      <c r="AB49" s="3202">
        <v>90.1</v>
      </c>
      <c r="AC49" s="1162"/>
      <c r="AD49" s="3202">
        <v>510.9</v>
      </c>
      <c r="AE49" s="3199"/>
      <c r="AF49" s="3206"/>
      <c r="AG49" s="3017"/>
      <c r="AH49" s="3014">
        <f t="shared" si="8"/>
        <v>82.3</v>
      </c>
      <c r="AI49" s="3208"/>
      <c r="AJ49" s="3020">
        <f>ROUND(AH49/AD49,3)</f>
        <v>0.161</v>
      </c>
      <c r="AK49" s="3011"/>
      <c r="AL49" s="2967"/>
    </row>
    <row r="50" spans="1:38" ht="18" customHeight="1">
      <c r="A50" s="3005" t="s">
        <v>1259</v>
      </c>
      <c r="B50" s="3005"/>
      <c r="C50" s="3005"/>
      <c r="D50" s="1162">
        <v>9.9999999999999978E-2</v>
      </c>
      <c r="E50" s="1163"/>
      <c r="F50" s="3021">
        <v>0.6</v>
      </c>
      <c r="G50" s="1162"/>
      <c r="H50" s="1166">
        <v>0</v>
      </c>
      <c r="I50" s="3199"/>
      <c r="J50" s="3015">
        <v>0</v>
      </c>
      <c r="K50" s="1161"/>
      <c r="L50" s="1166">
        <v>0</v>
      </c>
      <c r="M50" s="3199"/>
      <c r="N50" s="1167">
        <v>0</v>
      </c>
      <c r="O50" s="1161"/>
      <c r="P50" s="1166">
        <v>0</v>
      </c>
      <c r="Q50" s="3199"/>
      <c r="R50" s="1167">
        <v>0</v>
      </c>
      <c r="S50" s="1162"/>
      <c r="T50" s="3016"/>
      <c r="U50" s="3016"/>
      <c r="V50" s="3014">
        <f t="shared" si="6"/>
        <v>9.9999999999999978E-2</v>
      </c>
      <c r="W50" s="1164"/>
      <c r="X50" s="3014">
        <f t="shared" si="7"/>
        <v>0.6</v>
      </c>
      <c r="Y50" s="3017"/>
      <c r="Z50" s="3018"/>
      <c r="AA50" s="1164"/>
      <c r="AB50" s="3202">
        <v>0.2</v>
      </c>
      <c r="AC50" s="1162"/>
      <c r="AD50" s="3021">
        <v>0.8</v>
      </c>
      <c r="AE50" s="3199"/>
      <c r="AF50" s="3206"/>
      <c r="AG50" s="3017"/>
      <c r="AH50" s="3014">
        <f t="shared" si="8"/>
        <v>-0.2</v>
      </c>
      <c r="AI50" s="3208"/>
      <c r="AJ50" s="3249">
        <f>ROUND(IF(AD50=0,1,AH50/(AD50)),3)</f>
        <v>-0.25</v>
      </c>
      <c r="AK50" s="3011"/>
      <c r="AL50" s="2967"/>
    </row>
    <row r="51" spans="1:38" ht="18" customHeight="1">
      <c r="A51" s="3012" t="s">
        <v>1260</v>
      </c>
      <c r="B51" s="3005"/>
      <c r="C51" s="3005"/>
      <c r="D51" s="1166">
        <v>0</v>
      </c>
      <c r="E51" s="1163"/>
      <c r="F51" s="1166">
        <v>0</v>
      </c>
      <c r="G51" s="1162"/>
      <c r="H51" s="1162">
        <v>101.60000000000002</v>
      </c>
      <c r="I51" s="3199"/>
      <c r="J51" s="3014">
        <v>671.6</v>
      </c>
      <c r="K51" s="1161"/>
      <c r="L51" s="1166">
        <v>0</v>
      </c>
      <c r="M51" s="3199"/>
      <c r="N51" s="1167">
        <v>0</v>
      </c>
      <c r="O51" s="1161"/>
      <c r="P51" s="1166">
        <v>0</v>
      </c>
      <c r="Q51" s="3199"/>
      <c r="R51" s="1167">
        <v>0</v>
      </c>
      <c r="S51" s="1162"/>
      <c r="T51" s="3016"/>
      <c r="U51" s="3016"/>
      <c r="V51" s="3014">
        <f t="shared" si="6"/>
        <v>101.60000000000002</v>
      </c>
      <c r="W51" s="1164"/>
      <c r="X51" s="3014">
        <f t="shared" si="7"/>
        <v>671.6</v>
      </c>
      <c r="Y51" s="3017"/>
      <c r="Z51" s="3018"/>
      <c r="AA51" s="1164"/>
      <c r="AB51" s="3202">
        <v>100.2</v>
      </c>
      <c r="AC51" s="1162"/>
      <c r="AD51" s="3202">
        <v>642.20000000000005</v>
      </c>
      <c r="AE51" s="3199"/>
      <c r="AF51" s="3206"/>
      <c r="AG51" s="3017"/>
      <c r="AH51" s="3015">
        <f t="shared" si="8"/>
        <v>29.4</v>
      </c>
      <c r="AI51" s="3208"/>
      <c r="AJ51" s="3056">
        <f>ROUND(AH51/AD51,3)</f>
        <v>4.5999999999999999E-2</v>
      </c>
      <c r="AK51" s="3011"/>
      <c r="AL51" s="2967"/>
    </row>
    <row r="52" spans="1:38" ht="18" customHeight="1">
      <c r="A52" s="3004" t="s">
        <v>1249</v>
      </c>
      <c r="B52" s="3005"/>
      <c r="C52" s="3005"/>
      <c r="D52" s="3045">
        <f>ROUND(SUM(D46:D51),1)</f>
        <v>105.9</v>
      </c>
      <c r="E52" s="3026"/>
      <c r="F52" s="3045">
        <f>ROUND(SUM(F46:F51),1)</f>
        <v>678.9</v>
      </c>
      <c r="G52" s="3027"/>
      <c r="H52" s="3030">
        <f>ROUND(SUM(H46:H51),1)</f>
        <v>101.6</v>
      </c>
      <c r="I52" s="3203"/>
      <c r="J52" s="3030">
        <f>ROUND(SUM(J46:J51),1)</f>
        <v>671.6</v>
      </c>
      <c r="K52" s="3027"/>
      <c r="L52" s="3045">
        <f>ROUND(SUM(L46:L51),1)</f>
        <v>80.8</v>
      </c>
      <c r="M52" s="69"/>
      <c r="N52" s="3045">
        <f>ROUND(SUM(N46:N51),1)</f>
        <v>533.6</v>
      </c>
      <c r="O52" s="3027" t="s">
        <v>16</v>
      </c>
      <c r="P52" s="3045">
        <f>ROUND(SUM(P46:P51),1)</f>
        <v>12</v>
      </c>
      <c r="Q52" s="69"/>
      <c r="R52" s="3045">
        <f>ROUND(SUM(R46:R51),1)</f>
        <v>59.6</v>
      </c>
      <c r="S52" s="3027"/>
      <c r="T52" s="3029"/>
      <c r="U52" s="3029"/>
      <c r="V52" s="3030">
        <f>ROUND(SUM(V46:V51),1)</f>
        <v>300.3</v>
      </c>
      <c r="W52" s="3026"/>
      <c r="X52" s="3030">
        <f>ROUND(SUM(X46:X51),1)</f>
        <v>1943.7</v>
      </c>
      <c r="Y52" s="3046"/>
      <c r="Z52" s="3032"/>
      <c r="AA52" s="3026"/>
      <c r="AB52" s="3030">
        <f>ROUND(SUM(AB46:AB51),1)</f>
        <v>389.9</v>
      </c>
      <c r="AC52" s="3027"/>
      <c r="AD52" s="3030">
        <f>ROUND(SUM(AD46:AD51),1)</f>
        <v>1956.3</v>
      </c>
      <c r="AE52" s="3028"/>
      <c r="AF52" s="3033"/>
      <c r="AG52" s="3031"/>
      <c r="AH52" s="3047">
        <f t="shared" si="8"/>
        <v>-12.6</v>
      </c>
      <c r="AI52" s="18"/>
      <c r="AJ52" s="3048">
        <f>ROUND(AH52/AD52,3)</f>
        <v>-6.0000000000000001E-3</v>
      </c>
      <c r="AK52" s="3036"/>
      <c r="AL52" s="3037"/>
    </row>
    <row r="53" spans="1:38" ht="18" customHeight="1">
      <c r="A53" s="3005"/>
      <c r="B53" s="3005"/>
      <c r="C53" s="3005"/>
      <c r="D53" s="3057"/>
      <c r="E53" s="3053"/>
      <c r="F53" s="3057"/>
      <c r="G53" s="3058"/>
      <c r="H53" s="3057"/>
      <c r="I53" s="18"/>
      <c r="J53" s="3209"/>
      <c r="K53" s="3058"/>
      <c r="L53" s="3057"/>
      <c r="M53" s="18"/>
      <c r="N53" s="3209"/>
      <c r="O53" s="3058"/>
      <c r="P53" s="3057"/>
      <c r="Q53" s="18"/>
      <c r="R53" s="3209"/>
      <c r="S53" s="3058"/>
      <c r="T53" s="3059"/>
      <c r="U53" s="3059"/>
      <c r="V53" s="3057"/>
      <c r="W53" s="3060"/>
      <c r="X53" s="3057"/>
      <c r="Y53" s="3053"/>
      <c r="Z53" s="3061"/>
      <c r="AA53" s="3060"/>
      <c r="AB53" s="3057"/>
      <c r="AC53" s="3058"/>
      <c r="AD53" s="3209"/>
      <c r="AE53" s="18"/>
      <c r="AF53" s="3062"/>
      <c r="AG53" s="3053"/>
      <c r="AH53" s="3063"/>
      <c r="AI53" s="18"/>
      <c r="AJ53" s="3064"/>
      <c r="AK53" s="3037"/>
      <c r="AL53" s="3037"/>
    </row>
    <row r="54" spans="1:38" ht="18" customHeight="1" thickBot="1">
      <c r="A54" s="3004" t="s">
        <v>1261</v>
      </c>
      <c r="B54" s="3005"/>
      <c r="C54" s="3005"/>
      <c r="D54" s="3065">
        <f>ROUND(SUM(D25)+SUM(D35)+SUM(D43)+SUM(D52),1)</f>
        <v>2569.9</v>
      </c>
      <c r="E54" s="3210"/>
      <c r="F54" s="3065">
        <f>ROUND(SUM(F25)+SUM(F35)+SUM(F43)+SUM(F52),1)</f>
        <v>24295.200000000001</v>
      </c>
      <c r="G54" s="3067"/>
      <c r="H54" s="3065">
        <f>ROUND(SUM(H25)+SUM(H35)+SUM(H43)+SUM(H52),1)</f>
        <v>322.5</v>
      </c>
      <c r="I54" s="3066"/>
      <c r="J54" s="3065">
        <f>ROUND(SUM(J25)+SUM(J35)+SUM(J43)+SUM(J52),1)</f>
        <v>3371.9</v>
      </c>
      <c r="K54" s="3066"/>
      <c r="L54" s="3065">
        <f>ROUND(SUM(L25)+SUM(L35)+SUM(L43)+SUM(L52),1)</f>
        <v>1168.3</v>
      </c>
      <c r="M54" s="3066"/>
      <c r="N54" s="3065">
        <f>ROUND(SUM(N25)+SUM(N35)+SUM(N43)+SUM(N52),1)</f>
        <v>9887.2999999999993</v>
      </c>
      <c r="O54" s="3066"/>
      <c r="P54" s="3065">
        <f>ROUND(SUM(P25)+SUM(P35)+SUM(P43)+SUM(P52),1)</f>
        <v>111.2</v>
      </c>
      <c r="Q54" s="3066"/>
      <c r="R54" s="3065">
        <f>ROUND(SUM(R25)+SUM(R35)+SUM(R43)+SUM(R52),1)</f>
        <v>820.2</v>
      </c>
      <c r="S54" s="3068"/>
      <c r="T54" s="3069"/>
      <c r="U54" s="3210"/>
      <c r="V54" s="3070">
        <f>ROUND(SUM(V25)+SUM(V35)+SUM(V43)+SUM(V52),1)</f>
        <v>4171.8999999999996</v>
      </c>
      <c r="W54" s="3210"/>
      <c r="X54" s="3070">
        <f>ROUND(SUM(X25)+SUM(X35)+SUM(X43)+SUM(X52),1)</f>
        <v>38374.6</v>
      </c>
      <c r="Y54" s="3071"/>
      <c r="Z54" s="3211"/>
      <c r="AA54" s="3210"/>
      <c r="AB54" s="3070">
        <f>ROUND(SUM(AB25)+SUM(AB35)+SUM(AB43)+SUM(AB52),1)</f>
        <v>4189.8999999999996</v>
      </c>
      <c r="AC54" s="3210"/>
      <c r="AD54" s="3070">
        <f>ROUND(SUM(AD25)+SUM(AD35)+SUM(AD43)+SUM(AD52),1)</f>
        <v>38609</v>
      </c>
      <c r="AE54" s="3066"/>
      <c r="AF54" s="3072"/>
      <c r="AG54" s="3066"/>
      <c r="AH54" s="3065">
        <f>ROUND(SUM(X54)-SUM(AD54),1)</f>
        <v>-234.4</v>
      </c>
      <c r="AI54" s="18"/>
      <c r="AJ54" s="3073">
        <f>ROUND(AH54/AD54,3)</f>
        <v>-6.0000000000000001E-3</v>
      </c>
      <c r="AK54" s="3036"/>
      <c r="AL54" s="3037"/>
    </row>
    <row r="55" spans="1:38" ht="15" customHeight="1" thickTop="1"/>
    <row r="56" spans="1:38" ht="15" customHeight="1"/>
    <row r="57" spans="1:38" ht="15" customHeight="1"/>
  </sheetData>
  <customSheetViews>
    <customSheetView guid="{BD09DBC2-63A5-4D9C-9B00-4281066E9389}" scale="60" showPageBreaks="1" showGridLines="0" outlineSymbols="0" fitToPage="1" printArea="1" topLeftCell="B1">
      <selection activeCell="AM7" sqref="AM7"/>
      <pageMargins left="0.4" right="0.25" top="0.75" bottom="0.40277777777777801" header="0" footer="0.25"/>
      <pageSetup scale="42" firstPageNumber="15" orientation="landscape" useFirstPageNumber="1" r:id="rId1"/>
      <headerFooter scaleWithDoc="0" alignWithMargins="0">
        <oddFooter>&amp;C&amp;8&amp;P</oddFooter>
      </headerFooter>
    </customSheetView>
    <customSheetView guid="{C82E0A7D-2B5B-48FC-A705-3168E651E04C}" scale="60" showPageBreaks="1" showGridLines="0" outlineSymbols="0" fitToPage="1" printArea="1">
      <selection activeCell="A25" sqref="A25"/>
      <pageMargins left="0.4" right="0.25" top="0.75" bottom="0.40277777777777801" header="0" footer="0.25"/>
      <pageSetup scale="42" orientation="landscape" r:id="rId2"/>
      <headerFooter scaleWithDoc="0" alignWithMargins="0">
        <oddFooter>&amp;C&amp;8 15</oddFooter>
      </headerFooter>
    </customSheetView>
    <customSheetView guid="{A8B05C3B-0E7E-44A3-A097-AF4C5C09F04E}" scale="60" showPageBreaks="1" showGridLines="0" outlineSymbols="0" fitToPage="1" printArea="1" topLeftCell="A19">
      <selection activeCell="A25" sqref="A25"/>
      <pageMargins left="0.4" right="0.25" top="0.75" bottom="0.40277777777777801" header="0" footer="0.25"/>
      <pageSetup scale="42" orientation="landscape" r:id="rId3"/>
      <headerFooter scaleWithDoc="0" alignWithMargins="0">
        <oddFooter>&amp;C&amp;8 15</oddFooter>
      </headerFooter>
    </customSheetView>
    <customSheetView guid="{8EE6466D-211E-4E05-9F84-CC0A1C6F79F4}" scale="60" showGridLines="0" outlineSymbols="0" fitToPage="1" topLeftCell="A19">
      <selection activeCell="A25" sqref="A25"/>
      <pageMargins left="0.4" right="0.25" top="0.75" bottom="0.40277777777777801" header="0" footer="0.25"/>
      <pageSetup scale="42" orientation="landscape" r:id="rId4"/>
      <headerFooter scaleWithDoc="0" alignWithMargins="0">
        <oddFooter>&amp;C&amp;8 15</oddFooter>
      </headerFooter>
    </customSheetView>
    <customSheetView guid="{4735AAE3-27B4-4549-AAB4-50ACA997F5F5}" scale="60" showPageBreaks="1" showGridLines="0" outlineSymbols="0" fitToPage="1" printArea="1" topLeftCell="A16">
      <selection activeCell="N25" sqref="N25"/>
      <pageMargins left="0.4" right="0.25" top="0.75" bottom="0.40277777777777801" header="0" footer="0.25"/>
      <pageSetup scale="42" orientation="landscape" r:id="rId5"/>
      <headerFooter scaleWithDoc="0" alignWithMargins="0">
        <oddFooter>&amp;C&amp;8 15</oddFooter>
      </headerFooter>
    </customSheetView>
    <customSheetView guid="{80622567-647A-4891-B8EE-6B9E2C4DAC44}" scale="60" showPageBreaks="1" showGridLines="0" outlineSymbols="0" fitToPage="1" printArea="1" topLeftCell="A7">
      <selection activeCell="H38" sqref="H38"/>
      <pageMargins left="0.4" right="0.25" top="0.75" bottom="0.40277777777777801" header="0" footer="0.25"/>
      <pageSetup scale="42" orientation="landscape" r:id="rId6"/>
      <headerFooter scaleWithDoc="0" alignWithMargins="0">
        <oddFooter>&amp;C&amp;8 15</oddFooter>
      </headerFooter>
    </customSheetView>
    <customSheetView guid="{A97EE6C3-4DA8-41BD-BE43-F596EFCB43CA}" scale="60" showPageBreaks="1" showGridLines="0" outlineSymbols="0" fitToPage="1" printArea="1" topLeftCell="B31">
      <selection activeCell="R43" sqref="R43"/>
      <pageMargins left="0.4" right="0.25" top="0.75" bottom="0.40277777777777801" header="0" footer="0.25"/>
      <pageSetup scale="42" orientation="landscape" r:id="rId7"/>
      <headerFooter scaleWithDoc="0" alignWithMargins="0">
        <oddFooter>&amp;C&amp;8 15</oddFooter>
      </headerFooter>
    </customSheetView>
    <customSheetView guid="{90B76C5A-2FC4-40F0-8436-3E4F075A4887}" scale="70" showPageBreaks="1" showGridLines="0" outlineSymbols="0" fitToPage="1" printArea="1">
      <selection activeCell="H38" sqref="H38"/>
      <pageMargins left="0.4" right="0.25" top="0.75" bottom="0.40277777777777801" header="0" footer="0.25"/>
      <pageSetup scale="42" orientation="landscape" r:id="rId8"/>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9"/>
  <headerFooter scaleWithDoc="0" alignWithMargins="0">
    <oddFooter>&amp;C&amp;8&amp;P</oddFooter>
  </headerFooter>
  <ignoredErrors>
    <ignoredError sqref="AH19:AJ24 AJ50" formula="1"/>
  </ignoredErrors>
</worksheet>
</file>

<file path=xl/worksheets/sheet16.xml><?xml version="1.0" encoding="utf-8"?>
<worksheet xmlns="http://schemas.openxmlformats.org/spreadsheetml/2006/main" xmlns:r="http://schemas.openxmlformats.org/officeDocument/2006/relationships">
  <sheetPr codeName="Sheet14">
    <pageSetUpPr autoPageBreaks="0"/>
  </sheetPr>
  <dimension ref="A1:BG156"/>
  <sheetViews>
    <sheetView showGridLines="0" showOutlineSymbols="0" zoomScale="60" zoomScaleNormal="70" zoomScaleSheetLayoutView="75" workbookViewId="0"/>
  </sheetViews>
  <sheetFormatPr defaultColWidth="8.88671875" defaultRowHeight="16.5" customHeight="1"/>
  <cols>
    <col min="1" max="1" width="43.6640625" style="424" customWidth="1"/>
    <col min="2" max="2" width="1.6640625" style="424" customWidth="1"/>
    <col min="3" max="3" width="12.5546875" style="424" customWidth="1"/>
    <col min="4" max="4" width="1.6640625" style="424" customWidth="1"/>
    <col min="5" max="5" width="12.44140625" style="424" bestFit="1" customWidth="1"/>
    <col min="6" max="6" width="1.6640625" style="424" customWidth="1"/>
    <col min="7" max="7" width="12.44140625" style="424" bestFit="1" customWidth="1"/>
    <col min="8" max="8" width="1.6640625" style="424" customWidth="1"/>
    <col min="9" max="9" width="14.44140625" style="424" customWidth="1"/>
    <col min="10" max="10" width="1.6640625" style="424" customWidth="1"/>
    <col min="11" max="11" width="12.33203125" style="424" bestFit="1" customWidth="1"/>
    <col min="12" max="12" width="1.6640625" style="424" customWidth="1"/>
    <col min="13" max="13" width="13.33203125" style="424" customWidth="1"/>
    <col min="14" max="14" width="1.6640625" style="424" customWidth="1"/>
    <col min="15" max="15" width="11.77734375" style="424" customWidth="1"/>
    <col min="16" max="16" width="1.6640625" style="424" customWidth="1"/>
    <col min="17" max="17" width="11.77734375" style="424" customWidth="1"/>
    <col min="18" max="18" width="1.6640625" style="424" customWidth="1"/>
    <col min="19" max="19" width="12.44140625" style="424" customWidth="1"/>
    <col min="20" max="20" width="1.6640625" style="424" customWidth="1"/>
    <col min="21" max="21" width="13" style="424" customWidth="1"/>
    <col min="22" max="22" width="1.6640625" style="424" customWidth="1"/>
    <col min="23" max="23" width="12.33203125" style="424" customWidth="1"/>
    <col min="24" max="24" width="1.6640625" style="424" customWidth="1"/>
    <col min="25" max="25" width="11.5546875" style="424" bestFit="1" customWidth="1"/>
    <col min="26" max="27" width="1.6640625" style="424" customWidth="1"/>
    <col min="28" max="28" width="15.21875" style="424" customWidth="1"/>
    <col min="29" max="30" width="1.6640625" style="424" customWidth="1"/>
    <col min="31" max="31" width="13.5546875" style="424" bestFit="1" customWidth="1"/>
    <col min="32" max="33" width="1.6640625" style="424" customWidth="1"/>
    <col min="34" max="34" width="12.88671875" style="424" bestFit="1" customWidth="1"/>
    <col min="35" max="35" width="1.88671875" style="424" customWidth="1"/>
    <col min="36" max="36" width="13.6640625" style="424" customWidth="1"/>
    <col min="37" max="16384" width="8.88671875" style="424"/>
  </cols>
  <sheetData>
    <row r="1" spans="1:37" ht="16.5" customHeight="1">
      <c r="A1" s="1227" t="s">
        <v>1322</v>
      </c>
    </row>
    <row r="2" spans="1:37" ht="16.5" customHeight="1">
      <c r="A2" s="1874"/>
    </row>
    <row r="3" spans="1:37" ht="20.25" customHeight="1">
      <c r="A3" s="432" t="s">
        <v>0</v>
      </c>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I3" s="435"/>
    </row>
    <row r="4" spans="1:37" ht="20.25" customHeight="1">
      <c r="A4" s="432" t="s">
        <v>128</v>
      </c>
      <c r="B4" s="435"/>
      <c r="C4" s="435"/>
      <c r="D4" s="435"/>
      <c r="E4" s="435"/>
      <c r="F4" s="435"/>
      <c r="G4" s="435"/>
      <c r="H4" s="435"/>
      <c r="I4" s="435" t="s">
        <v>16</v>
      </c>
      <c r="J4" s="435"/>
      <c r="K4" s="435"/>
      <c r="L4" s="435"/>
      <c r="M4" s="435"/>
      <c r="N4" s="435"/>
      <c r="O4" s="435"/>
      <c r="P4" s="435"/>
      <c r="Q4" s="435"/>
      <c r="R4" s="435"/>
      <c r="S4" s="435"/>
      <c r="T4" s="435"/>
      <c r="U4" s="435"/>
      <c r="V4" s="435"/>
      <c r="W4" s="435"/>
      <c r="X4" s="435"/>
      <c r="Y4" s="435" t="s">
        <v>16</v>
      </c>
      <c r="Z4" s="435"/>
      <c r="AA4" s="435"/>
      <c r="AB4" s="435"/>
      <c r="AC4" s="435"/>
      <c r="AD4" s="435"/>
      <c r="AE4" s="435"/>
      <c r="AF4" s="435"/>
      <c r="AG4" s="435"/>
      <c r="AI4" s="435"/>
    </row>
    <row r="5" spans="1:37" ht="20.25" customHeight="1">
      <c r="A5" s="434" t="s">
        <v>129</v>
      </c>
      <c r="B5" s="435"/>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C5" s="3356"/>
      <c r="AD5" s="3357"/>
      <c r="AE5" s="3357"/>
      <c r="AF5" s="3357"/>
      <c r="AG5" s="3357"/>
      <c r="AH5" s="3357"/>
      <c r="AI5" s="3357"/>
      <c r="AJ5" s="3357"/>
    </row>
    <row r="6" spans="1:37" ht="20.25" customHeight="1">
      <c r="A6" s="434" t="s">
        <v>1175</v>
      </c>
      <c r="B6" s="435"/>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I6" s="435"/>
    </row>
    <row r="7" spans="1:37" ht="20.25" customHeight="1">
      <c r="A7" s="432" t="s">
        <v>1198</v>
      </c>
      <c r="B7" s="435"/>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I7" s="435"/>
    </row>
    <row r="8" spans="1:37" ht="16.5" customHeight="1">
      <c r="A8" s="435"/>
      <c r="B8" s="435"/>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I8" s="435"/>
    </row>
    <row r="9" spans="1:37" ht="16.5" customHeight="1">
      <c r="A9" s="435"/>
      <c r="B9" s="435"/>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I9" s="435"/>
    </row>
    <row r="10" spans="1:37" ht="16.5" customHeight="1">
      <c r="A10" s="435"/>
      <c r="B10" s="435"/>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I10" s="435"/>
    </row>
    <row r="11" spans="1:37" ht="16.5" customHeight="1">
      <c r="A11" s="435"/>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C11" s="435"/>
      <c r="AD11" s="435"/>
      <c r="AE11" s="435"/>
      <c r="AF11" s="435"/>
      <c r="AG11" s="435"/>
      <c r="AI11" s="435"/>
    </row>
    <row r="12" spans="1:37" ht="16.5" customHeight="1">
      <c r="A12" s="435"/>
      <c r="B12" s="435"/>
      <c r="C12" s="435"/>
      <c r="D12" s="435"/>
      <c r="E12" s="435"/>
      <c r="F12" s="435"/>
      <c r="G12" s="435"/>
      <c r="H12" s="435"/>
      <c r="I12" s="435"/>
      <c r="J12" s="435"/>
      <c r="K12" s="435"/>
      <c r="L12" s="435"/>
      <c r="M12" s="435"/>
      <c r="N12" s="435"/>
      <c r="O12" s="435"/>
      <c r="P12" s="435"/>
      <c r="Q12" s="435"/>
      <c r="R12" s="435"/>
      <c r="S12" s="435"/>
      <c r="T12" s="435"/>
      <c r="U12" s="435"/>
      <c r="V12" s="435"/>
      <c r="W12" s="435"/>
      <c r="X12" s="435"/>
      <c r="Z12" s="435"/>
      <c r="AA12" s="1002"/>
      <c r="AB12" s="3358" t="s">
        <v>1642</v>
      </c>
      <c r="AC12" s="3358"/>
      <c r="AD12" s="3358"/>
      <c r="AE12" s="3358"/>
      <c r="AF12" s="3358"/>
      <c r="AG12" s="3358"/>
      <c r="AH12" s="3358"/>
      <c r="AI12" s="3358"/>
      <c r="AJ12" s="3358"/>
    </row>
    <row r="13" spans="1:37" ht="16.5" customHeight="1">
      <c r="A13" s="435"/>
      <c r="B13" s="435"/>
      <c r="C13" s="1622" t="s">
        <v>130</v>
      </c>
      <c r="D13" s="1000"/>
      <c r="E13" s="1000"/>
      <c r="F13" s="1000"/>
      <c r="G13" s="1000"/>
      <c r="H13" s="1000"/>
      <c r="I13" s="1000"/>
      <c r="J13" s="1000"/>
      <c r="K13" s="1000"/>
      <c r="L13" s="1000"/>
      <c r="M13" s="1000"/>
      <c r="N13" s="1000"/>
      <c r="O13" s="1000"/>
      <c r="P13" s="1000"/>
      <c r="Q13" s="1000"/>
      <c r="R13" s="1000"/>
      <c r="S13" s="1000"/>
      <c r="T13" s="1000"/>
      <c r="U13" s="1622" t="s">
        <v>1169</v>
      </c>
      <c r="V13" s="1000"/>
      <c r="W13" s="1000"/>
      <c r="X13" s="1000"/>
      <c r="Y13" s="1000"/>
      <c r="Z13" s="1000"/>
      <c r="AA13" s="1000"/>
      <c r="AB13" s="1000"/>
      <c r="AC13" s="1623"/>
      <c r="AD13" s="1623"/>
      <c r="AE13" s="1623"/>
      <c r="AF13" s="1000"/>
      <c r="AG13" s="1000"/>
      <c r="AH13" s="1624" t="s">
        <v>8</v>
      </c>
      <c r="AI13" s="1622"/>
      <c r="AJ13" s="1624" t="s">
        <v>9</v>
      </c>
    </row>
    <row r="14" spans="1:37" ht="16.5" customHeight="1">
      <c r="A14" s="435"/>
      <c r="B14" s="435"/>
      <c r="C14" s="1624" t="s">
        <v>131</v>
      </c>
      <c r="D14" s="1000"/>
      <c r="E14" s="1624" t="s">
        <v>132</v>
      </c>
      <c r="F14" s="1000"/>
      <c r="G14" s="1624" t="s">
        <v>133</v>
      </c>
      <c r="H14" s="1000"/>
      <c r="I14" s="1624" t="s">
        <v>134</v>
      </c>
      <c r="J14" s="1000"/>
      <c r="K14" s="1624" t="s">
        <v>135</v>
      </c>
      <c r="L14" s="1000"/>
      <c r="M14" s="1624" t="s">
        <v>136</v>
      </c>
      <c r="N14" s="1000"/>
      <c r="O14" s="1624" t="s">
        <v>137</v>
      </c>
      <c r="P14" s="1000"/>
      <c r="Q14" s="1624" t="s">
        <v>138</v>
      </c>
      <c r="R14" s="1000"/>
      <c r="S14" s="1624" t="s">
        <v>139</v>
      </c>
      <c r="T14" s="1000"/>
      <c r="U14" s="1624" t="s">
        <v>140</v>
      </c>
      <c r="V14" s="1000"/>
      <c r="W14" s="1624" t="s">
        <v>141</v>
      </c>
      <c r="X14" s="1000"/>
      <c r="Y14" s="1624" t="s">
        <v>142</v>
      </c>
      <c r="Z14" s="1000"/>
      <c r="AA14" s="1000"/>
      <c r="AB14" s="1625">
        <v>2014</v>
      </c>
      <c r="AC14" s="1000"/>
      <c r="AD14" s="1000"/>
      <c r="AE14" s="1625">
        <v>2013</v>
      </c>
      <c r="AF14" s="1000"/>
      <c r="AG14" s="1000"/>
      <c r="AH14" s="1626" t="s">
        <v>13</v>
      </c>
      <c r="AI14" s="1622"/>
      <c r="AJ14" s="1626" t="s">
        <v>14</v>
      </c>
    </row>
    <row r="15" spans="1:37" ht="6" customHeight="1">
      <c r="A15" s="435"/>
      <c r="B15" s="435"/>
      <c r="C15" s="1003"/>
      <c r="D15" s="435"/>
      <c r="E15" s="1003"/>
      <c r="F15" s="435"/>
      <c r="G15" s="1003"/>
      <c r="H15" s="435"/>
      <c r="I15" s="1003"/>
      <c r="J15" s="435"/>
      <c r="K15" s="1003"/>
      <c r="L15" s="435"/>
      <c r="M15" s="1003"/>
      <c r="N15" s="435"/>
      <c r="O15" s="1003" t="s">
        <v>16</v>
      </c>
      <c r="P15" s="435"/>
      <c r="Q15" s="1003"/>
      <c r="R15" s="435"/>
      <c r="S15" s="1003"/>
      <c r="T15" s="435"/>
      <c r="U15" s="1003" t="s">
        <v>16</v>
      </c>
      <c r="V15" s="435"/>
      <c r="W15" s="1003"/>
      <c r="X15" s="435"/>
      <c r="Y15" s="1003"/>
      <c r="Z15" s="435"/>
      <c r="AA15" s="435"/>
      <c r="AB15" s="1003"/>
      <c r="AC15" s="435"/>
      <c r="AD15" s="435"/>
      <c r="AE15" s="1003"/>
      <c r="AF15" s="435"/>
      <c r="AG15" s="435"/>
      <c r="AI15" s="435"/>
    </row>
    <row r="16" spans="1:37" ht="16.5" customHeight="1">
      <c r="A16" s="1001" t="s">
        <v>143</v>
      </c>
      <c r="B16" s="435"/>
      <c r="C16" s="1373">
        <v>4034.5</v>
      </c>
      <c r="D16" s="1004"/>
      <c r="E16" s="1004">
        <f>C142</f>
        <v>7574.6</v>
      </c>
      <c r="F16" s="1004"/>
      <c r="G16" s="1004">
        <f>E142</f>
        <v>7114.1</v>
      </c>
      <c r="H16" s="1004"/>
      <c r="I16" s="1004">
        <f>+G142</f>
        <v>7739.2</v>
      </c>
      <c r="J16" s="1004"/>
      <c r="K16" s="1004">
        <f>+I142</f>
        <v>9848.2999999999993</v>
      </c>
      <c r="L16" s="1004"/>
      <c r="M16" s="1004">
        <f>K142</f>
        <v>9668</v>
      </c>
      <c r="N16" s="1004"/>
      <c r="O16" s="1004">
        <f>M142</f>
        <v>9214.6</v>
      </c>
      <c r="P16" s="1004"/>
      <c r="Q16" s="1004"/>
      <c r="R16" s="1004"/>
      <c r="S16" s="1004"/>
      <c r="T16" s="1004"/>
      <c r="U16" s="1004"/>
      <c r="V16" s="1004"/>
      <c r="W16" s="1004"/>
      <c r="X16" s="1004"/>
      <c r="Y16" s="1004"/>
      <c r="Z16" s="1004"/>
      <c r="AA16" s="1005"/>
      <c r="AB16" s="1004">
        <f>C16</f>
        <v>4034.5</v>
      </c>
      <c r="AC16" s="1004"/>
      <c r="AD16" s="1006"/>
      <c r="AE16" s="1004">
        <v>3876.4</v>
      </c>
      <c r="AF16" s="1004"/>
      <c r="AG16" s="1004"/>
      <c r="AH16" s="1004">
        <f>ROUND(SUM(AB16-AE16),1)</f>
        <v>158.1</v>
      </c>
      <c r="AI16" s="1000"/>
      <c r="AJ16" s="518">
        <f>ROUND(SUM(AH16/AE16),3)</f>
        <v>4.1000000000000002E-2</v>
      </c>
      <c r="AK16" s="810"/>
    </row>
    <row r="17" spans="1:36" ht="16.5" customHeight="1">
      <c r="A17" s="435"/>
      <c r="B17" s="435"/>
      <c r="C17" s="435" t="s">
        <v>16</v>
      </c>
      <c r="D17" s="435"/>
      <c r="E17" s="1007"/>
      <c r="F17" s="435"/>
      <c r="G17" s="1007"/>
      <c r="H17" s="435"/>
      <c r="I17" s="1007"/>
      <c r="J17" s="435"/>
      <c r="K17" s="1007"/>
      <c r="L17" s="435"/>
      <c r="M17" s="1007"/>
      <c r="N17" s="435"/>
      <c r="O17" s="1007"/>
      <c r="P17" s="435"/>
      <c r="Q17" s="1007"/>
      <c r="R17" s="435"/>
      <c r="S17" s="1007"/>
      <c r="T17" s="435"/>
      <c r="U17" s="1007"/>
      <c r="V17" s="435"/>
      <c r="W17" s="1007"/>
      <c r="X17" s="435"/>
      <c r="Y17" s="1007"/>
      <c r="Z17" s="435"/>
      <c r="AA17" s="1008"/>
      <c r="AB17" s="435" t="s">
        <v>16</v>
      </c>
      <c r="AC17" s="435"/>
      <c r="AD17" s="1009"/>
      <c r="AE17" s="435" t="s">
        <v>16</v>
      </c>
      <c r="AF17" s="435"/>
      <c r="AG17" s="435"/>
      <c r="AH17" s="1857"/>
      <c r="AI17" s="435"/>
      <c r="AJ17" s="1857"/>
    </row>
    <row r="18" spans="1:36" ht="16.5" customHeight="1">
      <c r="A18" s="414" t="s">
        <v>15</v>
      </c>
      <c r="B18" s="435"/>
      <c r="C18" s="435"/>
      <c r="D18" s="435"/>
      <c r="E18" s="1007"/>
      <c r="F18" s="435"/>
      <c r="G18" s="1007"/>
      <c r="H18" s="435"/>
      <c r="I18" s="1007"/>
      <c r="J18" s="435"/>
      <c r="K18" s="1007"/>
      <c r="L18" s="435"/>
      <c r="M18" s="1007"/>
      <c r="N18" s="435"/>
      <c r="O18" s="1007"/>
      <c r="P18" s="435"/>
      <c r="Q18" s="1007"/>
      <c r="R18" s="435"/>
      <c r="S18" s="1007"/>
      <c r="T18" s="435"/>
      <c r="U18" s="1007"/>
      <c r="V18" s="435"/>
      <c r="W18" s="1007"/>
      <c r="X18" s="435"/>
      <c r="Y18" s="1007"/>
      <c r="Z18" s="435"/>
      <c r="AA18" s="1008"/>
      <c r="AB18" s="435"/>
      <c r="AC18" s="435"/>
      <c r="AD18" s="1009"/>
      <c r="AE18" s="435"/>
      <c r="AF18" s="435"/>
      <c r="AG18" s="435"/>
      <c r="AH18" s="1857"/>
      <c r="AI18" s="435"/>
      <c r="AJ18" s="1857"/>
    </row>
    <row r="19" spans="1:36" ht="16.5" customHeight="1">
      <c r="A19" s="495" t="s">
        <v>1495</v>
      </c>
      <c r="B19" s="435"/>
      <c r="C19" s="435"/>
      <c r="D19" s="435"/>
      <c r="E19" s="1007"/>
      <c r="F19" s="435"/>
      <c r="G19" s="1007"/>
      <c r="H19" s="435"/>
      <c r="I19" s="1007"/>
      <c r="J19" s="435"/>
      <c r="K19" s="1007"/>
      <c r="L19" s="435"/>
      <c r="M19" s="1007"/>
      <c r="N19" s="435"/>
      <c r="O19" s="1007"/>
      <c r="P19" s="435"/>
      <c r="Q19" s="1007"/>
      <c r="R19" s="435"/>
      <c r="S19" s="1007"/>
      <c r="T19" s="435"/>
      <c r="U19" s="1007"/>
      <c r="V19" s="435"/>
      <c r="W19" s="1007"/>
      <c r="X19" s="435"/>
      <c r="Y19" s="1007"/>
      <c r="Z19" s="435"/>
      <c r="AA19" s="1008"/>
      <c r="AB19" s="435"/>
      <c r="AC19" s="435"/>
      <c r="AD19" s="1009"/>
      <c r="AE19" s="435"/>
      <c r="AF19" s="435"/>
      <c r="AG19" s="435"/>
      <c r="AH19" s="1857"/>
      <c r="AI19" s="435"/>
      <c r="AJ19" s="1857"/>
    </row>
    <row r="20" spans="1:36" ht="16.5" customHeight="1">
      <c r="A20" s="2346" t="s">
        <v>1568</v>
      </c>
      <c r="B20" s="1313"/>
      <c r="C20" s="1158"/>
      <c r="D20" s="1158"/>
      <c r="E20" s="1158"/>
      <c r="F20" s="1158"/>
      <c r="G20" s="1158"/>
      <c r="H20" s="435"/>
      <c r="I20" s="1007"/>
      <c r="J20" s="435"/>
      <c r="K20" s="1007"/>
      <c r="L20" s="435"/>
      <c r="M20" s="1007"/>
      <c r="N20" s="435"/>
      <c r="O20" s="1007"/>
      <c r="P20" s="435"/>
      <c r="Q20" s="1007"/>
      <c r="R20" s="435"/>
      <c r="S20" s="1007"/>
      <c r="T20" s="435"/>
      <c r="U20" s="1007"/>
      <c r="V20" s="435"/>
      <c r="W20" s="1007"/>
      <c r="X20" s="435"/>
      <c r="Y20" s="1007"/>
      <c r="Z20" s="435"/>
      <c r="AA20" s="2199"/>
      <c r="AB20" s="435"/>
      <c r="AC20" s="435"/>
      <c r="AD20" s="1009"/>
      <c r="AE20" s="435"/>
      <c r="AF20" s="435"/>
      <c r="AG20" s="435"/>
      <c r="AH20" s="1857"/>
      <c r="AI20" s="435"/>
      <c r="AJ20" s="1857"/>
    </row>
    <row r="21" spans="1:36" ht="16.5" customHeight="1">
      <c r="A21" s="1313" t="s">
        <v>1503</v>
      </c>
      <c r="B21" s="1313"/>
      <c r="C21" s="711">
        <f>+'Exh F'!D19</f>
        <v>2760.5</v>
      </c>
      <c r="D21" s="1161"/>
      <c r="E21" s="711">
        <f>+'Exh F'!F19</f>
        <v>2421.3000000000002</v>
      </c>
      <c r="F21" s="1161"/>
      <c r="G21" s="711">
        <f>+'Exh F'!H19</f>
        <v>2361.1999999999998</v>
      </c>
      <c r="H21" s="1010"/>
      <c r="I21" s="711">
        <f>+'Exh F'!J19</f>
        <v>2563.1</v>
      </c>
      <c r="J21" s="1010"/>
      <c r="K21" s="711">
        <f>+'Exh F'!L19</f>
        <v>2371</v>
      </c>
      <c r="L21" s="435"/>
      <c r="M21" s="711">
        <f>+'Exh F'!N19</f>
        <v>2392.4</v>
      </c>
      <c r="N21" s="435"/>
      <c r="O21" s="711">
        <f>+'Exh F'!P19</f>
        <v>2525.4</v>
      </c>
      <c r="P21" s="435"/>
      <c r="Q21" s="1007"/>
      <c r="R21" s="435"/>
      <c r="S21" s="1007"/>
      <c r="T21" s="435"/>
      <c r="U21" s="1007"/>
      <c r="V21" s="435"/>
      <c r="W21" s="1007"/>
      <c r="X21" s="435"/>
      <c r="Y21" s="1007"/>
      <c r="Z21" s="435"/>
      <c r="AA21" s="2199"/>
      <c r="AB21" s="1010">
        <f t="shared" ref="AB21:AB30" si="0">ROUND(SUM(C21:Y21),1)</f>
        <v>17394.900000000001</v>
      </c>
      <c r="AC21" s="435"/>
      <c r="AD21" s="1009"/>
      <c r="AE21" s="711">
        <f>+'Exh F'!AF19</f>
        <v>16509.099999999999</v>
      </c>
      <c r="AF21" s="435"/>
      <c r="AG21" s="435"/>
      <c r="AH21" s="1214">
        <f>ROUND(SUM(+AB21-AE21),1)</f>
        <v>885.8</v>
      </c>
      <c r="AI21" s="2362"/>
      <c r="AJ21" s="2040">
        <f t="shared" ref="AJ21:AJ26" si="1">ROUND(IF(AE21=0,0,AH21/(AE21)),3)</f>
        <v>5.3999999999999999E-2</v>
      </c>
    </row>
    <row r="22" spans="1:36" ht="16.5" customHeight="1">
      <c r="A22" s="1313" t="s">
        <v>1504</v>
      </c>
      <c r="B22" s="1319"/>
      <c r="C22" s="711">
        <f>+'Exh F'!D20</f>
        <v>4040.4</v>
      </c>
      <c r="D22" s="1161"/>
      <c r="E22" s="711">
        <f>+'Exh F'!F20</f>
        <v>112.1</v>
      </c>
      <c r="F22" s="1161"/>
      <c r="G22" s="711">
        <f>+'Exh F'!H20</f>
        <v>1891.6</v>
      </c>
      <c r="H22" s="1010"/>
      <c r="I22" s="711">
        <f>+'Exh F'!J20</f>
        <v>95.3</v>
      </c>
      <c r="J22" s="1010"/>
      <c r="K22" s="711">
        <f>+'Exh F'!L20</f>
        <v>72.7</v>
      </c>
      <c r="L22" s="435"/>
      <c r="M22" s="711">
        <f>+'Exh F'!N20</f>
        <v>2228.8000000000002</v>
      </c>
      <c r="N22" s="435"/>
      <c r="O22" s="711">
        <f>+'Exh F'!P20</f>
        <v>153.1</v>
      </c>
      <c r="P22" s="435"/>
      <c r="Q22" s="1007"/>
      <c r="R22" s="435"/>
      <c r="S22" s="1007"/>
      <c r="T22" s="435"/>
      <c r="U22" s="1007"/>
      <c r="V22" s="435"/>
      <c r="W22" s="1007"/>
      <c r="X22" s="435"/>
      <c r="Y22" s="1007"/>
      <c r="Z22" s="435"/>
      <c r="AA22" s="2199"/>
      <c r="AB22" s="1010">
        <f t="shared" si="0"/>
        <v>8594</v>
      </c>
      <c r="AC22" s="435"/>
      <c r="AD22" s="1009"/>
      <c r="AE22" s="711">
        <f>+'Exh F'!AF20</f>
        <v>10038.1</v>
      </c>
      <c r="AF22" s="435"/>
      <c r="AG22" s="435"/>
      <c r="AH22" s="1214">
        <f>ROUND(SUM(+AB22-AE22),1)</f>
        <v>-1444.1</v>
      </c>
      <c r="AI22" s="2362"/>
      <c r="AJ22" s="2040">
        <f t="shared" si="1"/>
        <v>-0.14399999999999999</v>
      </c>
    </row>
    <row r="23" spans="1:36" ht="16.5" customHeight="1">
      <c r="A23" s="1313" t="s">
        <v>1505</v>
      </c>
      <c r="B23" s="1313"/>
      <c r="C23" s="711">
        <f>+'Exh F'!D21</f>
        <v>1433.5</v>
      </c>
      <c r="D23" s="1161"/>
      <c r="E23" s="711">
        <f>+'Exh F'!F21</f>
        <v>57.4</v>
      </c>
      <c r="F23" s="1161"/>
      <c r="G23" s="711">
        <f>+'Exh F'!H21</f>
        <v>38.6</v>
      </c>
      <c r="H23" s="1010"/>
      <c r="I23" s="711">
        <f>+'Exh F'!J21</f>
        <v>38.6</v>
      </c>
      <c r="J23" s="1010"/>
      <c r="K23" s="711">
        <f>+'Exh F'!L21</f>
        <v>29.9</v>
      </c>
      <c r="L23" s="435"/>
      <c r="M23" s="711">
        <f>+'Exh F'!N21</f>
        <v>53.8</v>
      </c>
      <c r="N23" s="435"/>
      <c r="O23" s="711">
        <f>+'Exh F'!P21</f>
        <v>335.3</v>
      </c>
      <c r="P23" s="435"/>
      <c r="Q23" s="1007"/>
      <c r="R23" s="435"/>
      <c r="S23" s="1007"/>
      <c r="T23" s="435"/>
      <c r="U23" s="1007"/>
      <c r="V23" s="435"/>
      <c r="W23" s="1007"/>
      <c r="X23" s="435"/>
      <c r="Y23" s="1007"/>
      <c r="Z23" s="435"/>
      <c r="AA23" s="2199"/>
      <c r="AB23" s="1010">
        <f t="shared" si="0"/>
        <v>1987.1</v>
      </c>
      <c r="AC23" s="435"/>
      <c r="AD23" s="1009"/>
      <c r="AE23" s="711">
        <f>+'Exh F'!AF21</f>
        <v>2167.5</v>
      </c>
      <c r="AF23" s="435"/>
      <c r="AG23" s="435"/>
      <c r="AH23" s="1214">
        <f>ROUND(SUM(+AB23-AE23),1)</f>
        <v>-180.4</v>
      </c>
      <c r="AI23" s="2362"/>
      <c r="AJ23" s="2040">
        <f t="shared" si="1"/>
        <v>-8.3000000000000004E-2</v>
      </c>
    </row>
    <row r="24" spans="1:36" ht="16.5" customHeight="1">
      <c r="A24" s="2385" t="s">
        <v>1506</v>
      </c>
      <c r="B24" s="1313"/>
      <c r="C24" s="711">
        <f>+'Exh F'!D22</f>
        <v>-124.1</v>
      </c>
      <c r="D24" s="1161"/>
      <c r="E24" s="711">
        <f>+'Exh F'!F22</f>
        <v>-26.9</v>
      </c>
      <c r="F24" s="1161"/>
      <c r="G24" s="711">
        <f>+'Exh F'!H22</f>
        <v>-13.2</v>
      </c>
      <c r="H24" s="1010"/>
      <c r="I24" s="711">
        <f>+'Exh F'!J22</f>
        <v>-10.4</v>
      </c>
      <c r="J24" s="1010"/>
      <c r="K24" s="711">
        <f>+'Exh F'!L22</f>
        <v>-10.9</v>
      </c>
      <c r="L24" s="435"/>
      <c r="M24" s="711">
        <f>+'Exh F'!N22</f>
        <v>-33.9</v>
      </c>
      <c r="N24" s="435"/>
      <c r="O24" s="711">
        <f>+'Exh F'!P22</f>
        <v>-210</v>
      </c>
      <c r="P24" s="435"/>
      <c r="Q24" s="1007"/>
      <c r="R24" s="435"/>
      <c r="S24" s="1007"/>
      <c r="T24" s="435"/>
      <c r="U24" s="1007"/>
      <c r="V24" s="435"/>
      <c r="W24" s="1007"/>
      <c r="X24" s="435"/>
      <c r="Y24" s="1007"/>
      <c r="Z24" s="435"/>
      <c r="AA24" s="2199"/>
      <c r="AB24" s="1010">
        <f t="shared" si="0"/>
        <v>-429.4</v>
      </c>
      <c r="AC24" s="435"/>
      <c r="AD24" s="1009"/>
      <c r="AE24" s="711">
        <f>+'Exh F'!AF22</f>
        <v>-450.9</v>
      </c>
      <c r="AF24" s="435"/>
      <c r="AG24" s="435"/>
      <c r="AH24" s="1214">
        <f>-ROUND(SUM(+AB24-AE24),1)</f>
        <v>-21.5</v>
      </c>
      <c r="AI24" s="2362"/>
      <c r="AJ24" s="3249">
        <f>-ROUND(IF(AE24=0,0,AH24/(AE24)),3)</f>
        <v>-4.8000000000000001E-2</v>
      </c>
    </row>
    <row r="25" spans="1:36" ht="16.5" customHeight="1">
      <c r="A25" s="2385" t="s">
        <v>1507</v>
      </c>
      <c r="B25" s="1313"/>
      <c r="C25" s="711">
        <f>+'Exh F'!D23</f>
        <v>112.2</v>
      </c>
      <c r="D25" s="1161"/>
      <c r="E25" s="711">
        <f>+'Exh F'!F23</f>
        <v>126.9</v>
      </c>
      <c r="F25" s="1161"/>
      <c r="G25" s="711">
        <f>+'Exh F'!H23</f>
        <v>93.9</v>
      </c>
      <c r="H25" s="1010"/>
      <c r="I25" s="711">
        <f>+'Exh F'!J23</f>
        <v>85.7</v>
      </c>
      <c r="J25" s="1010"/>
      <c r="K25" s="711">
        <f>+'Exh F'!L23</f>
        <v>64.099999999999994</v>
      </c>
      <c r="L25" s="435"/>
      <c r="M25" s="711">
        <f>+'Exh F'!N23</f>
        <v>76.8</v>
      </c>
      <c r="N25" s="435"/>
      <c r="O25" s="711">
        <f>+'Exh F'!P23</f>
        <v>85.5</v>
      </c>
      <c r="P25" s="435"/>
      <c r="Q25" s="1007"/>
      <c r="R25" s="435"/>
      <c r="S25" s="1007"/>
      <c r="T25" s="435"/>
      <c r="U25" s="1007"/>
      <c r="V25" s="435"/>
      <c r="W25" s="1007"/>
      <c r="X25" s="435"/>
      <c r="Y25" s="1007"/>
      <c r="Z25" s="435"/>
      <c r="AA25" s="2199"/>
      <c r="AB25" s="1010">
        <f t="shared" si="0"/>
        <v>645.1</v>
      </c>
      <c r="AC25" s="435"/>
      <c r="AD25" s="1009"/>
      <c r="AE25" s="711">
        <f>+'Exh F'!AF23</f>
        <v>599.1</v>
      </c>
      <c r="AF25" s="435"/>
      <c r="AG25" s="435"/>
      <c r="AH25" s="1214">
        <f>ROUND(SUM(+AB25-AE25),1)</f>
        <v>46</v>
      </c>
      <c r="AI25" s="2362"/>
      <c r="AJ25" s="3252">
        <f t="shared" si="1"/>
        <v>7.6999999999999999E-2</v>
      </c>
    </row>
    <row r="26" spans="1:36" ht="16.5" customHeight="1">
      <c r="A26" s="1314" t="s">
        <v>1508</v>
      </c>
      <c r="B26" s="1314"/>
      <c r="C26" s="1318">
        <f>ROUND(SUM(C21:C25),1)</f>
        <v>8222.5</v>
      </c>
      <c r="D26" s="187"/>
      <c r="E26" s="1318">
        <f>ROUND(SUM(E21:E25),1)</f>
        <v>2690.8</v>
      </c>
      <c r="F26" s="187"/>
      <c r="G26" s="1973">
        <f>ROUND(SUM(G21:G25),1)</f>
        <v>4372.1000000000004</v>
      </c>
      <c r="H26" s="435"/>
      <c r="I26" s="1973">
        <f>ROUND(SUM(I21:I25),1)</f>
        <v>2772.3</v>
      </c>
      <c r="J26" s="435"/>
      <c r="K26" s="1973">
        <f>ROUND(SUM(K21:K25),1)</f>
        <v>2526.8000000000002</v>
      </c>
      <c r="L26" s="435"/>
      <c r="M26" s="1973">
        <f>ROUND(SUM(M21:M25),1)</f>
        <v>4717.8999999999996</v>
      </c>
      <c r="N26" s="435"/>
      <c r="O26" s="1973">
        <f>ROUND(SUM(O21:O25),1)</f>
        <v>2889.3</v>
      </c>
      <c r="P26" s="435"/>
      <c r="Q26" s="1973">
        <f>ROUND(SUM(Q21:Q25),1)</f>
        <v>0</v>
      </c>
      <c r="R26" s="435"/>
      <c r="S26" s="1973">
        <f>ROUND(SUM(S21:S25),1)</f>
        <v>0</v>
      </c>
      <c r="T26" s="435"/>
      <c r="U26" s="1973">
        <f>ROUND(SUM(U21:U25),1)</f>
        <v>0</v>
      </c>
      <c r="V26" s="435"/>
      <c r="W26" s="1973">
        <f>ROUND(SUM(W21:W25),1)</f>
        <v>0</v>
      </c>
      <c r="X26" s="435"/>
      <c r="Y26" s="1973">
        <f>ROUND(SUM(Y21:Y25),1)</f>
        <v>0</v>
      </c>
      <c r="Z26" s="435"/>
      <c r="AA26" s="2199"/>
      <c r="AB26" s="1029">
        <f t="shared" si="0"/>
        <v>28191.7</v>
      </c>
      <c r="AC26" s="435"/>
      <c r="AD26" s="1009"/>
      <c r="AE26" s="1973">
        <f>ROUND(SUM(AE21:AE25),1)</f>
        <v>28862.9</v>
      </c>
      <c r="AF26" s="435"/>
      <c r="AG26" s="435"/>
      <c r="AH26" s="489">
        <f>ROUND(SUM(AB26-AE26),1)</f>
        <v>-671.2</v>
      </c>
      <c r="AI26" s="2362"/>
      <c r="AJ26" s="3253">
        <f t="shared" si="1"/>
        <v>-2.3E-2</v>
      </c>
    </row>
    <row r="27" spans="1:36" ht="16.5" customHeight="1">
      <c r="A27" s="2385" t="s">
        <v>1510</v>
      </c>
      <c r="B27" s="1313"/>
      <c r="C27" s="3040">
        <f>+'Exh F'!D25+'Exhibit G'!D18</f>
        <v>0</v>
      </c>
      <c r="D27" s="1162"/>
      <c r="E27" s="3040">
        <f>+'Exh F'!F25+'Exhibit G'!F18</f>
        <v>0</v>
      </c>
      <c r="F27" s="1162"/>
      <c r="G27" s="3040">
        <f>+'Exh F'!H25+'Exhibit G'!H18</f>
        <v>0</v>
      </c>
      <c r="H27" s="3250"/>
      <c r="I27" s="3040">
        <f>+'Exh F'!J25+'Exhibit G'!J18</f>
        <v>0</v>
      </c>
      <c r="J27" s="3250"/>
      <c r="K27" s="3040">
        <f>+'Exh F'!L25+'Exhibit G'!L18</f>
        <v>0</v>
      </c>
      <c r="L27" s="3251"/>
      <c r="M27" s="3040">
        <f>+'Exh F'!N25+'Exhibit G'!N18</f>
        <v>0</v>
      </c>
      <c r="N27" s="3251"/>
      <c r="O27" s="3040">
        <f>+'Exh F'!P25+'Exhibit G'!P18</f>
        <v>0</v>
      </c>
      <c r="P27" s="435"/>
      <c r="Q27" s="1007"/>
      <c r="R27" s="435"/>
      <c r="S27" s="1007"/>
      <c r="T27" s="435"/>
      <c r="U27" s="1007"/>
      <c r="V27" s="435"/>
      <c r="W27" s="1007"/>
      <c r="X27" s="435"/>
      <c r="Y27" s="1007"/>
      <c r="Z27" s="435"/>
      <c r="AA27" s="2199"/>
      <c r="AB27" s="1010">
        <f t="shared" si="0"/>
        <v>0</v>
      </c>
      <c r="AC27" s="435"/>
      <c r="AD27" s="1009"/>
      <c r="AE27" s="3040">
        <f>+'Exh F'!AF25+'Exhibit G'!AF18</f>
        <v>0</v>
      </c>
      <c r="AF27" s="435"/>
      <c r="AG27" s="435"/>
      <c r="AH27" s="1214">
        <f>ROUND(SUM(+AB27-AE27),1)</f>
        <v>0</v>
      </c>
      <c r="AI27" s="2362"/>
      <c r="AJ27" s="3249">
        <f>ROUND(IF(AE27=0,0,AH27/(AE27)),3)</f>
        <v>0</v>
      </c>
    </row>
    <row r="28" spans="1:36" ht="16.5" customHeight="1">
      <c r="A28" s="2385" t="s">
        <v>1511</v>
      </c>
      <c r="B28" s="1313"/>
      <c r="C28" s="1166">
        <f>+'Exh F'!D26+'Exhibit H'!B16</f>
        <v>0</v>
      </c>
      <c r="D28" s="1162"/>
      <c r="E28" s="1166">
        <f>+'Exh F'!F26+'Exhibit H'!D16</f>
        <v>0</v>
      </c>
      <c r="F28" s="1162"/>
      <c r="G28" s="1166">
        <f>+'Exh F'!H26+'Exhibit H'!F16</f>
        <v>0</v>
      </c>
      <c r="H28" s="3250"/>
      <c r="I28" s="1166">
        <f>+'Exh F'!J26+'Exhibit H'!H16</f>
        <v>0</v>
      </c>
      <c r="J28" s="3250"/>
      <c r="K28" s="1166">
        <f>+'Exh F'!L26+'Exhibit H'!J16</f>
        <v>0</v>
      </c>
      <c r="L28" s="3251"/>
      <c r="M28" s="1166">
        <f>+'Exh F'!N26+'Exhibit H'!L16</f>
        <v>0</v>
      </c>
      <c r="N28" s="3251"/>
      <c r="O28" s="1166">
        <f>+'Exh F'!P26+'Exhibit H'!N16</f>
        <v>0</v>
      </c>
      <c r="P28" s="435"/>
      <c r="Q28" s="1007"/>
      <c r="R28" s="435"/>
      <c r="S28" s="1007"/>
      <c r="T28" s="435"/>
      <c r="U28" s="1007"/>
      <c r="V28" s="435"/>
      <c r="W28" s="1007"/>
      <c r="X28" s="435"/>
      <c r="Y28" s="1007"/>
      <c r="Z28" s="435"/>
      <c r="AA28" s="2199"/>
      <c r="AB28" s="1010">
        <f t="shared" si="0"/>
        <v>0</v>
      </c>
      <c r="AC28" s="435"/>
      <c r="AD28" s="1009"/>
      <c r="AE28" s="1166">
        <f>+'Exh F'!AF26+'Exhibit H'!AD16</f>
        <v>0</v>
      </c>
      <c r="AF28" s="435"/>
      <c r="AG28" s="435"/>
      <c r="AH28" s="1214">
        <f>ROUND(SUM(+AB28-AE28),1)</f>
        <v>0</v>
      </c>
      <c r="AI28" s="2362"/>
      <c r="AJ28" s="3249">
        <f>ROUND(IF(AE28=0,0,AH28/(AE28)),3)</f>
        <v>0</v>
      </c>
    </row>
    <row r="29" spans="1:36" ht="16.5" customHeight="1">
      <c r="A29" s="1313" t="s">
        <v>1512</v>
      </c>
      <c r="B29" s="1313"/>
      <c r="C29" s="711">
        <f>+'Exh F'!D27</f>
        <v>-2869.2</v>
      </c>
      <c r="D29" s="1161"/>
      <c r="E29" s="711">
        <f>+'Exh F'!F27</f>
        <v>-588.9</v>
      </c>
      <c r="F29" s="1161"/>
      <c r="G29" s="711">
        <f>+'Exh F'!H27</f>
        <v>-127.3</v>
      </c>
      <c r="H29" s="1010"/>
      <c r="I29" s="711">
        <f>+'Exh F'!J27</f>
        <v>-206.8</v>
      </c>
      <c r="J29" s="1010"/>
      <c r="K29" s="711">
        <f>+'Exh F'!L27</f>
        <v>-136.4</v>
      </c>
      <c r="L29" s="435"/>
      <c r="M29" s="711">
        <f>+'Exh F'!N27</f>
        <v>-487.5</v>
      </c>
      <c r="N29" s="435"/>
      <c r="O29" s="711">
        <f>+'Exh F'!P27</f>
        <v>-401.9</v>
      </c>
      <c r="P29" s="435"/>
      <c r="Q29" s="1007"/>
      <c r="R29" s="435"/>
      <c r="S29" s="1007"/>
      <c r="T29" s="435"/>
      <c r="U29" s="1007"/>
      <c r="V29" s="435"/>
      <c r="W29" s="1007"/>
      <c r="X29" s="435"/>
      <c r="Y29" s="1007"/>
      <c r="Z29" s="435"/>
      <c r="AA29" s="2199"/>
      <c r="AB29" s="1010">
        <f t="shared" si="0"/>
        <v>-4818</v>
      </c>
      <c r="AC29" s="435"/>
      <c r="AD29" s="1009"/>
      <c r="AE29" s="711">
        <f>+'Exh F'!AF27</f>
        <v>-4882</v>
      </c>
      <c r="AF29" s="435"/>
      <c r="AG29" s="435"/>
      <c r="AH29" s="1214">
        <f>-ROUND(SUM(+AB29-AE29),1)</f>
        <v>-64</v>
      </c>
      <c r="AI29" s="2362"/>
      <c r="AJ29" s="3249">
        <f>-ROUND(IF(AE29=0,0,AH29/(AE29)),3)</f>
        <v>-1.2999999999999999E-2</v>
      </c>
    </row>
    <row r="30" spans="1:36" ht="16.5" customHeight="1">
      <c r="A30" s="594" t="s">
        <v>1509</v>
      </c>
      <c r="B30" s="1313"/>
      <c r="C30" s="1973">
        <f>ROUND(SUM(C26)+SUM(C27)+SUM(C28)+SUM(C29),1)</f>
        <v>5353.3</v>
      </c>
      <c r="D30" s="187"/>
      <c r="E30" s="1973">
        <f>ROUND(SUM(E26)+SUM(E27)+SUM(E28)+SUM(E29),1)</f>
        <v>2101.9</v>
      </c>
      <c r="F30" s="187"/>
      <c r="G30" s="1973">
        <f>ROUND(SUM(G26)+SUM(G27)+SUM(G28)+SUM(G29),1)</f>
        <v>4244.8</v>
      </c>
      <c r="H30" s="435"/>
      <c r="I30" s="1973">
        <f>ROUND(SUM(I26)+SUM(I27)+SUM(I28)+SUM(I29),1)</f>
        <v>2565.5</v>
      </c>
      <c r="J30" s="435"/>
      <c r="K30" s="1973">
        <f>ROUND(SUM(K26)+SUM(K27)+SUM(K28)+SUM(K29),1)</f>
        <v>2390.4</v>
      </c>
      <c r="L30" s="435"/>
      <c r="M30" s="1973">
        <f>ROUND(SUM(M26)+SUM(M27)+SUM(M28)+SUM(M29),1)</f>
        <v>4230.3999999999996</v>
      </c>
      <c r="N30" s="435"/>
      <c r="O30" s="1973">
        <f>ROUND(SUM(O26)+SUM(O27)+SUM(O28)+SUM(O29),1)</f>
        <v>2487.4</v>
      </c>
      <c r="P30" s="435"/>
      <c r="Q30" s="1973">
        <f>ROUND(SUM(Q26)+SUM(Q27)+SUM(Q28)+SUM(Q29),1)</f>
        <v>0</v>
      </c>
      <c r="R30" s="435"/>
      <c r="S30" s="1973">
        <f>ROUND(SUM(S26)+SUM(S27)+SUM(S28)+SUM(S29),1)</f>
        <v>0</v>
      </c>
      <c r="T30" s="435"/>
      <c r="U30" s="1973">
        <f>ROUND(SUM(U26)+SUM(U27)+SUM(U28)+SUM(U29),1)</f>
        <v>0</v>
      </c>
      <c r="V30" s="435"/>
      <c r="W30" s="1973">
        <f>ROUND(SUM(W26)+SUM(W27)+SUM(W28)+SUM(W29),1)</f>
        <v>0</v>
      </c>
      <c r="X30" s="435"/>
      <c r="Y30" s="1973">
        <f>ROUND(SUM(Y26)+SUM(Y27)+SUM(Y28)+SUM(Y29),1)</f>
        <v>0</v>
      </c>
      <c r="Z30" s="435"/>
      <c r="AA30" s="2199"/>
      <c r="AB30" s="1029">
        <f t="shared" si="0"/>
        <v>23373.7</v>
      </c>
      <c r="AC30" s="435"/>
      <c r="AD30" s="1009"/>
      <c r="AE30" s="1973">
        <f>ROUND(SUM(AE26)+SUM(AE27)+SUM(AE28)+SUM(AE29),1)</f>
        <v>23980.9</v>
      </c>
      <c r="AF30" s="435"/>
      <c r="AG30" s="435"/>
      <c r="AH30" s="489">
        <f>ROUND(SUM(AH26+AH27+AH28-AH29),1)</f>
        <v>-607.20000000000005</v>
      </c>
      <c r="AI30" s="2176"/>
      <c r="AJ30" s="3253">
        <f>ROUND(IF(AE30=0,0,AH30/(AE30)),3)</f>
        <v>-2.5000000000000001E-2</v>
      </c>
    </row>
    <row r="31" spans="1:36" ht="16.5" customHeight="1">
      <c r="A31" s="2346" t="s">
        <v>1569</v>
      </c>
      <c r="B31" s="1319"/>
      <c r="C31" s="1142"/>
      <c r="D31" s="1142"/>
      <c r="E31" s="1142"/>
      <c r="F31" s="1142"/>
      <c r="G31" s="1142"/>
      <c r="H31" s="435"/>
      <c r="I31" s="1007"/>
      <c r="J31" s="435"/>
      <c r="K31" s="1007"/>
      <c r="L31" s="435"/>
      <c r="M31" s="1007"/>
      <c r="N31" s="435"/>
      <c r="O31" s="1007"/>
      <c r="P31" s="435"/>
      <c r="Q31" s="1007"/>
      <c r="R31" s="435"/>
      <c r="S31" s="1007"/>
      <c r="T31" s="435"/>
      <c r="U31" s="1007"/>
      <c r="V31" s="435"/>
      <c r="W31" s="1007"/>
      <c r="X31" s="435"/>
      <c r="Y31" s="1007"/>
      <c r="Z31" s="435"/>
      <c r="AA31" s="2199"/>
      <c r="AB31" s="435"/>
      <c r="AC31" s="435"/>
      <c r="AD31" s="1009"/>
      <c r="AE31" s="1007"/>
      <c r="AF31" s="435"/>
      <c r="AG31" s="435"/>
      <c r="AH31" s="277"/>
      <c r="AI31" s="2176"/>
      <c r="AJ31" s="2343"/>
    </row>
    <row r="32" spans="1:36" ht="16.5" customHeight="1">
      <c r="A32" s="1313" t="s">
        <v>1515</v>
      </c>
      <c r="B32" s="1319"/>
      <c r="C32" s="711">
        <f>+'Exh F'!D30+'Exhibit G'!D21+'Exhibit H'!B19</f>
        <v>986.5</v>
      </c>
      <c r="D32" s="1161"/>
      <c r="E32" s="711">
        <f>+'Exh F'!F30+'Exhibit G'!F21+'Exhibit H'!D19</f>
        <v>977.09999999999991</v>
      </c>
      <c r="F32" s="1161"/>
      <c r="G32" s="711">
        <f>+'Exh F'!H30+'Exhibit G'!H21+'Exhibit H'!F19</f>
        <v>1285.9000000000001</v>
      </c>
      <c r="H32" s="1010"/>
      <c r="I32" s="711">
        <f>+'Exh F'!J30+'Exhibit G'!J21+'Exhibit H'!H19</f>
        <v>1002.7</v>
      </c>
      <c r="J32" s="1010"/>
      <c r="K32" s="711">
        <f>+'Exh F'!L30+'Exhibit G'!L21+'Exhibit H'!J19</f>
        <v>995.5</v>
      </c>
      <c r="L32" s="435"/>
      <c r="M32" s="711">
        <f>+'Exh F'!N30+'Exhibit G'!N21+'Exhibit H'!L19</f>
        <v>1323.4</v>
      </c>
      <c r="N32" s="435"/>
      <c r="O32" s="711">
        <f>+'Exh F'!P30+'Exhibit G'!P21+'Exhibit H'!N19</f>
        <v>996.8</v>
      </c>
      <c r="P32" s="435"/>
      <c r="Q32" s="1007"/>
      <c r="R32" s="435"/>
      <c r="S32" s="1007"/>
      <c r="T32" s="435"/>
      <c r="U32" s="1007"/>
      <c r="V32" s="435"/>
      <c r="W32" s="1007"/>
      <c r="X32" s="435"/>
      <c r="Y32" s="1007"/>
      <c r="Z32" s="435"/>
      <c r="AA32" s="2199"/>
      <c r="AB32" s="1010">
        <f t="shared" ref="AB32:AB38" si="2">ROUND(SUM(C32:Y32),1)</f>
        <v>7567.9</v>
      </c>
      <c r="AC32" s="435"/>
      <c r="AD32" s="1009"/>
      <c r="AE32" s="711">
        <f>+'Exh F'!AF30+'Exhibit G'!AF21+'Exhibit H'!AD19</f>
        <v>7325.4</v>
      </c>
      <c r="AF32" s="435"/>
      <c r="AG32" s="435"/>
      <c r="AH32" s="1214">
        <f t="shared" ref="AH32:AH38" si="3">ROUND(SUM(+AB32-AE32),1)</f>
        <v>242.5</v>
      </c>
      <c r="AI32" s="2176"/>
      <c r="AJ32" s="2040">
        <f t="shared" ref="AJ32:AJ39" si="4">ROUND(IF(AE32=0,0,AH32/(AE32)),3)</f>
        <v>3.3000000000000002E-2</v>
      </c>
    </row>
    <row r="33" spans="1:36" ht="16.5" customHeight="1">
      <c r="A33" s="1313" t="s">
        <v>1516</v>
      </c>
      <c r="B33" s="1319"/>
      <c r="C33" s="711">
        <f>+'Exh F'!D31+'Exhibit G'!D22+' Exhbit I '!E20</f>
        <v>4</v>
      </c>
      <c r="D33" s="1161"/>
      <c r="E33" s="711">
        <f>+'Exh F'!F31+'Exhibit G'!F22+' Exhbit I '!G20</f>
        <v>0</v>
      </c>
      <c r="F33" s="1161"/>
      <c r="G33" s="711">
        <f>+'Exh F'!H31+'Exhibit G'!H22+' Exhbit I '!I20</f>
        <v>26.200000000000003</v>
      </c>
      <c r="H33" s="1010"/>
      <c r="I33" s="711">
        <f>+'Exh F'!J31+'Exhibit G'!J22+' Exhbit I '!K20</f>
        <v>1.6</v>
      </c>
      <c r="J33" s="1010"/>
      <c r="K33" s="711">
        <f>+'Exh F'!L31+'Exhibit G'!L22+' Exhbit I '!M20</f>
        <v>0.4</v>
      </c>
      <c r="L33" s="435"/>
      <c r="M33" s="711">
        <f>+'Exh F'!N31+'Exhibit G'!N22+' Exhbit I '!O20</f>
        <v>37.700000000000003</v>
      </c>
      <c r="N33" s="435"/>
      <c r="O33" s="711">
        <f>+'Exh F'!P31+'Exhibit G'!P22+' Exhbit I '!Q20</f>
        <v>0</v>
      </c>
      <c r="P33" s="435"/>
      <c r="Q33" s="1007"/>
      <c r="R33" s="435"/>
      <c r="S33" s="1007"/>
      <c r="T33" s="435"/>
      <c r="U33" s="1007"/>
      <c r="V33" s="435"/>
      <c r="W33" s="1007"/>
      <c r="X33" s="435"/>
      <c r="Y33" s="1007"/>
      <c r="Z33" s="435"/>
      <c r="AA33" s="2199"/>
      <c r="AB33" s="1010">
        <f t="shared" si="2"/>
        <v>69.900000000000006</v>
      </c>
      <c r="AC33" s="435"/>
      <c r="AD33" s="1009"/>
      <c r="AE33" s="711">
        <f>+'Exh F'!AF31+'Exhibit G'!AF22+' Exhbit I '!AG20</f>
        <v>65.099999999999994</v>
      </c>
      <c r="AF33" s="435"/>
      <c r="AG33" s="435"/>
      <c r="AH33" s="1214">
        <f t="shared" si="3"/>
        <v>4.8</v>
      </c>
      <c r="AI33" s="2176"/>
      <c r="AJ33" s="2040">
        <f t="shared" si="4"/>
        <v>7.3999999999999996E-2</v>
      </c>
    </row>
    <row r="34" spans="1:36" ht="16.5" customHeight="1">
      <c r="A34" s="1313" t="s">
        <v>1517</v>
      </c>
      <c r="B34" s="1313"/>
      <c r="C34" s="711">
        <f>+'Exh F'!D32+'Exhibit G'!D23</f>
        <v>119.7</v>
      </c>
      <c r="D34" s="1161"/>
      <c r="E34" s="711">
        <f>+'Exh F'!F32+'Exhibit G'!F23</f>
        <v>111</v>
      </c>
      <c r="F34" s="1161"/>
      <c r="G34" s="711">
        <f>+'Exh F'!H32+'Exhibit G'!H23</f>
        <v>112.4</v>
      </c>
      <c r="H34" s="1010"/>
      <c r="I34" s="711">
        <f>+'Exh F'!J32+'Exhibit G'!J23</f>
        <v>124.10000000000001</v>
      </c>
      <c r="J34" s="1010"/>
      <c r="K34" s="711">
        <f>+'Exh F'!L32+'Exhibit G'!L23</f>
        <v>120.5</v>
      </c>
      <c r="L34" s="435"/>
      <c r="M34" s="711">
        <f>+'Exh F'!N32+'Exhibit G'!N23</f>
        <v>119.3</v>
      </c>
      <c r="N34" s="435"/>
      <c r="O34" s="711">
        <f>+'Exh F'!P32+'Exhibit G'!P23</f>
        <v>116.9</v>
      </c>
      <c r="P34" s="435"/>
      <c r="Q34" s="1007"/>
      <c r="R34" s="435"/>
      <c r="S34" s="1007"/>
      <c r="T34" s="435"/>
      <c r="U34" s="1007"/>
      <c r="V34" s="435"/>
      <c r="W34" s="1007"/>
      <c r="X34" s="435"/>
      <c r="Y34" s="1007"/>
      <c r="Z34" s="435"/>
      <c r="AA34" s="2199"/>
      <c r="AB34" s="1010">
        <f t="shared" si="2"/>
        <v>823.9</v>
      </c>
      <c r="AC34" s="435"/>
      <c r="AD34" s="1009"/>
      <c r="AE34" s="711">
        <f>+'Exh F'!AF32+'Exhibit G'!AF23</f>
        <v>904.5</v>
      </c>
      <c r="AF34" s="435"/>
      <c r="AG34" s="435"/>
      <c r="AH34" s="1214">
        <f t="shared" si="3"/>
        <v>-80.599999999999994</v>
      </c>
      <c r="AI34" s="2176"/>
      <c r="AJ34" s="2040">
        <f t="shared" si="4"/>
        <v>-8.8999999999999996E-2</v>
      </c>
    </row>
    <row r="35" spans="1:36" ht="16.5" customHeight="1">
      <c r="A35" s="1313" t="s">
        <v>1518</v>
      </c>
      <c r="B35" s="1313"/>
      <c r="C35" s="711">
        <f>+'Exh F'!D33+'Exhibit G'!D24+' Exhbit I '!E21</f>
        <v>41</v>
      </c>
      <c r="D35" s="1161"/>
      <c r="E35" s="711">
        <f>+'Exh F'!F33+'Exhibit G'!F24+' Exhbit I '!G21</f>
        <v>46.300000000000004</v>
      </c>
      <c r="F35" s="1161"/>
      <c r="G35" s="711">
        <f>+'Exh F'!H33+'Exhibit G'!H24+' Exhbit I '!I21</f>
        <v>37</v>
      </c>
      <c r="H35" s="1010"/>
      <c r="I35" s="711">
        <f>+'Exh F'!J33+'Exhibit G'!J24+' Exhbit I '!K21</f>
        <v>40.700000000000003</v>
      </c>
      <c r="J35" s="1010"/>
      <c r="K35" s="711">
        <f>+'Exh F'!L33+'Exhibit G'!L24+' Exhbit I '!M21</f>
        <v>49.3</v>
      </c>
      <c r="L35" s="435"/>
      <c r="M35" s="711">
        <f>+'Exh F'!N33+'Exhibit G'!N24+' Exhbit I '!O21</f>
        <v>41.5</v>
      </c>
      <c r="N35" s="435"/>
      <c r="O35" s="711">
        <f>+'Exh F'!P33+'Exhibit G'!P24+' Exhbit I '!Q21</f>
        <v>41.7</v>
      </c>
      <c r="P35" s="435"/>
      <c r="Q35" s="1007"/>
      <c r="R35" s="435"/>
      <c r="S35" s="1007"/>
      <c r="T35" s="435"/>
      <c r="U35" s="1007"/>
      <c r="V35" s="435"/>
      <c r="W35" s="1007"/>
      <c r="X35" s="435"/>
      <c r="Y35" s="1007"/>
      <c r="Z35" s="435"/>
      <c r="AA35" s="2199"/>
      <c r="AB35" s="1010">
        <f t="shared" si="2"/>
        <v>297.5</v>
      </c>
      <c r="AC35" s="435"/>
      <c r="AD35" s="1009"/>
      <c r="AE35" s="711">
        <f>+'Exh F'!AF33+'Exhibit G'!AF24+' Exhbit I '!AG21</f>
        <v>288.2</v>
      </c>
      <c r="AF35" s="435"/>
      <c r="AG35" s="435"/>
      <c r="AH35" s="1214">
        <f t="shared" si="3"/>
        <v>9.3000000000000007</v>
      </c>
      <c r="AI35" s="2176"/>
      <c r="AJ35" s="2040">
        <f t="shared" si="4"/>
        <v>3.2000000000000001E-2</v>
      </c>
    </row>
    <row r="36" spans="1:36" ht="16.5" customHeight="1">
      <c r="A36" s="1313" t="s">
        <v>1519</v>
      </c>
      <c r="B36" s="1313"/>
      <c r="C36" s="711">
        <f>+'Exh F'!D34+'Exhibit G'!D25</f>
        <v>19.399999999999999</v>
      </c>
      <c r="D36" s="1161"/>
      <c r="E36" s="711">
        <f>+'Exh F'!F34+'Exhibit G'!F25</f>
        <v>19</v>
      </c>
      <c r="F36" s="1161"/>
      <c r="G36" s="711">
        <f>+'Exh F'!H34+'Exhibit G'!H25</f>
        <v>22.4</v>
      </c>
      <c r="H36" s="1010"/>
      <c r="I36" s="711">
        <f>+'Exh F'!J34+'Exhibit G'!J25</f>
        <v>26.8</v>
      </c>
      <c r="J36" s="1010"/>
      <c r="K36" s="711">
        <f>+'Exh F'!L34+'Exhibit G'!L25</f>
        <v>18.7</v>
      </c>
      <c r="L36" s="435"/>
      <c r="M36" s="711">
        <f>+'Exh F'!N34+'Exhibit G'!N25</f>
        <v>22.1</v>
      </c>
      <c r="N36" s="435"/>
      <c r="O36" s="711">
        <f>+'Exh F'!P34+'Exhibit G'!P25</f>
        <v>18.899999999999999</v>
      </c>
      <c r="P36" s="435"/>
      <c r="Q36" s="1007"/>
      <c r="R36" s="435"/>
      <c r="S36" s="1007"/>
      <c r="T36" s="435"/>
      <c r="U36" s="1007"/>
      <c r="V36" s="435"/>
      <c r="W36" s="1007"/>
      <c r="X36" s="435"/>
      <c r="Y36" s="1007"/>
      <c r="Z36" s="435"/>
      <c r="AA36" s="2199"/>
      <c r="AB36" s="1010">
        <f t="shared" si="2"/>
        <v>147.30000000000001</v>
      </c>
      <c r="AC36" s="435"/>
      <c r="AD36" s="1009"/>
      <c r="AE36" s="711">
        <f>+'Exh F'!AF34+'Exhibit G'!AF25</f>
        <v>146.69999999999999</v>
      </c>
      <c r="AF36" s="435"/>
      <c r="AG36" s="435"/>
      <c r="AH36" s="1214">
        <f t="shared" si="3"/>
        <v>0.6</v>
      </c>
      <c r="AI36" s="2176"/>
      <c r="AJ36" s="2040">
        <f t="shared" si="4"/>
        <v>4.0000000000000001E-3</v>
      </c>
    </row>
    <row r="37" spans="1:36" ht="16.5" customHeight="1">
      <c r="A37" s="1313" t="s">
        <v>1520</v>
      </c>
      <c r="B37" s="1313"/>
      <c r="C37" s="711">
        <f>+'Exh F'!D35+'Exhibit G'!D26+' Exhbit I '!E22</f>
        <v>12.9</v>
      </c>
      <c r="D37" s="1161"/>
      <c r="E37" s="711">
        <f>+'Exh F'!F35+'Exhibit G'!F26+' Exhbit I '!G22</f>
        <v>10.5</v>
      </c>
      <c r="F37" s="1161"/>
      <c r="G37" s="711">
        <f>+'Exh F'!H35+'Exhibit G'!H26+' Exhbit I '!I22</f>
        <v>11.2</v>
      </c>
      <c r="H37" s="1010"/>
      <c r="I37" s="711">
        <f>+'Exh F'!J35+'Exhibit G'!J26+' Exhbit I '!K22</f>
        <v>13.3</v>
      </c>
      <c r="J37" s="1010"/>
      <c r="K37" s="711">
        <f>+'Exh F'!L35+'Exhibit G'!L26+' Exhbit I '!M22</f>
        <v>10.1</v>
      </c>
      <c r="L37" s="435"/>
      <c r="M37" s="711">
        <f>+'Exh F'!N35+'Exhibit G'!N26+' Exhbit I '!O22</f>
        <v>12.6</v>
      </c>
      <c r="N37" s="435"/>
      <c r="O37" s="711">
        <f>+'Exh F'!P35+'Exhibit G'!P26+' Exhbit I '!Q22</f>
        <v>13.7</v>
      </c>
      <c r="P37" s="435"/>
      <c r="Q37" s="1007"/>
      <c r="R37" s="435"/>
      <c r="S37" s="1007"/>
      <c r="T37" s="435"/>
      <c r="U37" s="1007"/>
      <c r="V37" s="435"/>
      <c r="W37" s="1007"/>
      <c r="X37" s="435"/>
      <c r="Y37" s="1007"/>
      <c r="Z37" s="435"/>
      <c r="AA37" s="2199"/>
      <c r="AB37" s="1010">
        <f t="shared" si="2"/>
        <v>84.3</v>
      </c>
      <c r="AC37" s="435"/>
      <c r="AD37" s="1009"/>
      <c r="AE37" s="711">
        <f>+'Exh F'!AF35+'Exhibit G'!AF26+' Exhbit I '!AG22</f>
        <v>83.7</v>
      </c>
      <c r="AF37" s="435"/>
      <c r="AG37" s="435"/>
      <c r="AH37" s="1214">
        <f t="shared" si="3"/>
        <v>0.6</v>
      </c>
      <c r="AI37" s="2176"/>
      <c r="AJ37" s="2040">
        <f t="shared" si="4"/>
        <v>7.0000000000000001E-3</v>
      </c>
    </row>
    <row r="38" spans="1:36" ht="16.5" customHeight="1">
      <c r="A38" s="2386" t="s">
        <v>1521</v>
      </c>
      <c r="B38" s="1313"/>
      <c r="C38" s="711">
        <f>+'Exh F'!D36+'Exhibit G'!D27</f>
        <v>20.9</v>
      </c>
      <c r="D38" s="1161"/>
      <c r="E38" s="711">
        <f>+'Exh F'!F36+'Exhibit G'!F27</f>
        <v>0.3</v>
      </c>
      <c r="F38" s="1161"/>
      <c r="G38" s="711">
        <f>+'Exh F'!H36+'Exhibit G'!H27</f>
        <v>0.4</v>
      </c>
      <c r="H38" s="1010"/>
      <c r="I38" s="711">
        <f>+'Exh F'!J36+'Exhibit G'!J27</f>
        <v>20.399999999999999</v>
      </c>
      <c r="J38" s="1010"/>
      <c r="K38" s="711">
        <f>+'Exh F'!L36+'Exhibit G'!L27</f>
        <v>0.7</v>
      </c>
      <c r="L38" s="435"/>
      <c r="M38" s="711">
        <f>+'Exh F'!N36+'Exhibit G'!N27</f>
        <v>0.5</v>
      </c>
      <c r="N38" s="435"/>
      <c r="O38" s="711">
        <f>+'Exh F'!P36+'Exhibit G'!P27</f>
        <v>18.8</v>
      </c>
      <c r="P38" s="435"/>
      <c r="Q38" s="1007"/>
      <c r="R38" s="435"/>
      <c r="S38" s="1007"/>
      <c r="T38" s="435"/>
      <c r="U38" s="1007"/>
      <c r="V38" s="435"/>
      <c r="W38" s="1007"/>
      <c r="X38" s="435"/>
      <c r="Y38" s="1007"/>
      <c r="Z38" s="435"/>
      <c r="AA38" s="2199"/>
      <c r="AB38" s="1010">
        <f t="shared" si="2"/>
        <v>62</v>
      </c>
      <c r="AC38" s="435"/>
      <c r="AD38" s="1009"/>
      <c r="AE38" s="711">
        <f>+'Exh F'!AF36+'Exhibit G'!AF27</f>
        <v>62.1</v>
      </c>
      <c r="AF38" s="435"/>
      <c r="AG38" s="435"/>
      <c r="AH38" s="1214">
        <f t="shared" si="3"/>
        <v>-0.1</v>
      </c>
      <c r="AI38" s="2176"/>
      <c r="AJ38" s="2040">
        <f t="shared" si="4"/>
        <v>-2E-3</v>
      </c>
    </row>
    <row r="39" spans="1:36" ht="16.5" customHeight="1">
      <c r="A39" s="594" t="s">
        <v>1514</v>
      </c>
      <c r="B39" s="1313"/>
      <c r="C39" s="1973">
        <f>ROUND(SUM(C32:C38),1)</f>
        <v>1204.4000000000001</v>
      </c>
      <c r="D39" s="187"/>
      <c r="E39" s="1973">
        <f>ROUND(SUM(E32:E38),1)</f>
        <v>1164.2</v>
      </c>
      <c r="F39" s="187"/>
      <c r="G39" s="1973">
        <f>ROUND(SUM(G32:G38),1)</f>
        <v>1495.5</v>
      </c>
      <c r="H39" s="435"/>
      <c r="I39" s="1973">
        <f>ROUND(SUM(I32:I38),1)</f>
        <v>1229.5999999999999</v>
      </c>
      <c r="J39" s="435"/>
      <c r="K39" s="1973">
        <f>ROUND(SUM(K32:K38),1)</f>
        <v>1195.2</v>
      </c>
      <c r="L39" s="435"/>
      <c r="M39" s="1973">
        <f>ROUND(SUM(M32:M38),1)</f>
        <v>1557.1</v>
      </c>
      <c r="N39" s="435"/>
      <c r="O39" s="1973">
        <f>ROUND(SUM(O32:O38),1)</f>
        <v>1206.8</v>
      </c>
      <c r="P39" s="435"/>
      <c r="Q39" s="1973">
        <f>ROUND(SUM(Q32:Q38),1)</f>
        <v>0</v>
      </c>
      <c r="R39" s="435"/>
      <c r="S39" s="1973">
        <f>ROUND(SUM(S32:S38),1)</f>
        <v>0</v>
      </c>
      <c r="T39" s="435"/>
      <c r="U39" s="1973">
        <f>ROUND(SUM(U32:U38),1)</f>
        <v>0</v>
      </c>
      <c r="V39" s="435"/>
      <c r="W39" s="1973">
        <f>ROUND(SUM(W32:W38),1)</f>
        <v>0</v>
      </c>
      <c r="X39" s="435"/>
      <c r="Y39" s="1973">
        <f>ROUND(SUM(Y32:Y38),1)</f>
        <v>0</v>
      </c>
      <c r="Z39" s="435"/>
      <c r="AA39" s="2199"/>
      <c r="AB39" s="1973">
        <f>ROUND(SUM(AB32:AB38),1)</f>
        <v>9052.7999999999993</v>
      </c>
      <c r="AC39" s="435"/>
      <c r="AD39" s="1009"/>
      <c r="AE39" s="1973">
        <f>ROUND(SUM(AE32:AE38),1)</f>
        <v>8875.7000000000007</v>
      </c>
      <c r="AF39" s="435"/>
      <c r="AG39" s="435"/>
      <c r="AH39" s="489">
        <f>ROUND(SUM(AH32:AH38),1)</f>
        <v>177.1</v>
      </c>
      <c r="AI39" s="277"/>
      <c r="AJ39" s="74">
        <f t="shared" si="4"/>
        <v>0.02</v>
      </c>
    </row>
    <row r="40" spans="1:36" ht="16.5" customHeight="1">
      <c r="A40" s="2346" t="s">
        <v>1570</v>
      </c>
      <c r="B40" s="1313"/>
      <c r="C40" s="1142"/>
      <c r="D40" s="1142"/>
      <c r="E40" s="1142"/>
      <c r="F40" s="1142"/>
      <c r="G40" s="1142"/>
      <c r="H40" s="435"/>
      <c r="I40" s="1007"/>
      <c r="J40" s="435"/>
      <c r="K40" s="1007"/>
      <c r="L40" s="435"/>
      <c r="M40" s="1007"/>
      <c r="N40" s="435"/>
      <c r="O40" s="1007"/>
      <c r="P40" s="435"/>
      <c r="Q40" s="1007"/>
      <c r="R40" s="435"/>
      <c r="S40" s="1007"/>
      <c r="T40" s="435"/>
      <c r="U40" s="1007"/>
      <c r="V40" s="435"/>
      <c r="W40" s="1007"/>
      <c r="X40" s="435"/>
      <c r="Y40" s="1007"/>
      <c r="Z40" s="435"/>
      <c r="AA40" s="2199"/>
      <c r="AB40" s="435"/>
      <c r="AC40" s="435"/>
      <c r="AD40" s="1009"/>
      <c r="AE40" s="1007"/>
      <c r="AF40" s="435"/>
      <c r="AG40" s="435"/>
      <c r="AH40" s="277"/>
      <c r="AI40" s="277"/>
      <c r="AJ40" s="2343"/>
    </row>
    <row r="41" spans="1:36" ht="16.5" customHeight="1">
      <c r="A41" s="1313" t="s">
        <v>1523</v>
      </c>
      <c r="B41" s="1313"/>
      <c r="C41" s="711">
        <f>+'Exh F'!D39+'Exhibit G'!D30+' Exhbit I '!E25</f>
        <v>138.69999999999999</v>
      </c>
      <c r="D41" s="1161"/>
      <c r="E41" s="711">
        <f>+'Exh F'!F39+'Exhibit G'!F30+' Exhbit I '!G25</f>
        <v>52.699999999999996</v>
      </c>
      <c r="F41" s="1161"/>
      <c r="G41" s="711">
        <f>+'Exh F'!H39+'Exhibit G'!H30+' Exhbit I '!I25</f>
        <v>491.20000000000005</v>
      </c>
      <c r="H41" s="1010"/>
      <c r="I41" s="711">
        <f>+'Exh F'!J39+'Exhibit G'!J30+' Exhbit I '!K25</f>
        <v>94.6</v>
      </c>
      <c r="J41" s="1010"/>
      <c r="K41" s="711">
        <f>+'Exh F'!L39+'Exhibit G'!L30+' Exhbit I '!M25</f>
        <v>25.6</v>
      </c>
      <c r="L41" s="435"/>
      <c r="M41" s="711">
        <f>+'Exh F'!N39+'Exhibit G'!N30+' Exhbit I '!O25</f>
        <v>461</v>
      </c>
      <c r="N41" s="435"/>
      <c r="O41" s="711">
        <f>+'Exh F'!P39+'Exhibit G'!P30+' Exhbit I '!Q25</f>
        <v>81.100000000000009</v>
      </c>
      <c r="P41" s="435"/>
      <c r="Q41" s="1007"/>
      <c r="R41" s="435"/>
      <c r="S41" s="1007"/>
      <c r="T41" s="435"/>
      <c r="U41" s="1007"/>
      <c r="V41" s="435"/>
      <c r="W41" s="1007"/>
      <c r="X41" s="435"/>
      <c r="Y41" s="1007"/>
      <c r="Z41" s="435"/>
      <c r="AA41" s="2199"/>
      <c r="AB41" s="1010">
        <f>ROUND(SUM(C41:Y41),1)</f>
        <v>1344.9</v>
      </c>
      <c r="AC41" s="435"/>
      <c r="AD41" s="1009"/>
      <c r="AE41" s="711">
        <f>+'Exh F'!AF39+'Exhibit G'!AF30+' Exhbit I '!AG25</f>
        <v>1682.1</v>
      </c>
      <c r="AF41" s="435"/>
      <c r="AG41" s="435"/>
      <c r="AH41" s="1214">
        <f>ROUND(SUM(+AB41-AE41),1)</f>
        <v>-337.2</v>
      </c>
      <c r="AI41" s="277"/>
      <c r="AJ41" s="2040">
        <f t="shared" ref="AJ41:AJ46" si="5">ROUND(IF(AE41=0,0,AH41/(AE41)),3)</f>
        <v>-0.2</v>
      </c>
    </row>
    <row r="42" spans="1:36" ht="16.5" customHeight="1">
      <c r="A42" s="1313" t="s">
        <v>1524</v>
      </c>
      <c r="B42" s="1313"/>
      <c r="C42" s="711">
        <f>+'Exh F'!D40+'Exhibit G'!D31+' Exhbit I '!E26</f>
        <v>1.7000000000000002</v>
      </c>
      <c r="D42" s="1161"/>
      <c r="E42" s="711">
        <f>+'Exh F'!F40+'Exhibit G'!F31+' Exhbit I '!G26</f>
        <v>3.4</v>
      </c>
      <c r="F42" s="1161"/>
      <c r="G42" s="711">
        <f>+'Exh F'!H40+'Exhibit G'!H31+' Exhbit I '!I26</f>
        <v>142.69999999999999</v>
      </c>
      <c r="H42" s="1010"/>
      <c r="I42" s="711">
        <f>+'Exh F'!J40+'Exhibit G'!J31+' Exhbit I '!K26</f>
        <v>1.7</v>
      </c>
      <c r="J42" s="1010"/>
      <c r="K42" s="711">
        <f>+'Exh F'!L40+'Exhibit G'!L31+' Exhbit I '!M26</f>
        <v>-0.6</v>
      </c>
      <c r="L42" s="435"/>
      <c r="M42" s="711">
        <f>+'Exh F'!N40+'Exhibit G'!N31+' Exhbit I '!O26</f>
        <v>153.6</v>
      </c>
      <c r="N42" s="435"/>
      <c r="O42" s="711">
        <f>+'Exh F'!P40+'Exhibit G'!P31+' Exhbit I '!Q26</f>
        <v>3.8000000000000003</v>
      </c>
      <c r="P42" s="435"/>
      <c r="Q42" s="1007"/>
      <c r="R42" s="435"/>
      <c r="S42" s="1007"/>
      <c r="T42" s="435"/>
      <c r="U42" s="1007"/>
      <c r="V42" s="435"/>
      <c r="W42" s="1007"/>
      <c r="X42" s="435"/>
      <c r="Y42" s="1007"/>
      <c r="Z42" s="435"/>
      <c r="AA42" s="2199"/>
      <c r="AB42" s="1010">
        <f>ROUND(SUM(C42:Y42),1)</f>
        <v>306.3</v>
      </c>
      <c r="AC42" s="435"/>
      <c r="AD42" s="1009"/>
      <c r="AE42" s="711">
        <f>+'Exh F'!AF40+'Exhibit G'!AF31+' Exhbit I '!AG26</f>
        <v>292</v>
      </c>
      <c r="AF42" s="435"/>
      <c r="AG42" s="435"/>
      <c r="AH42" s="1214">
        <f>ROUND(SUM(+AB42-AE42),1)</f>
        <v>14.3</v>
      </c>
      <c r="AI42" s="277"/>
      <c r="AJ42" s="2040">
        <f t="shared" si="5"/>
        <v>4.9000000000000002E-2</v>
      </c>
    </row>
    <row r="43" spans="1:36" ht="16.5" customHeight="1">
      <c r="A43" s="1313" t="s">
        <v>1525</v>
      </c>
      <c r="B43" s="1313"/>
      <c r="C43" s="711">
        <f>+'Exh F'!D41+'Exhibit G'!D32</f>
        <v>4.7</v>
      </c>
      <c r="D43" s="1161"/>
      <c r="E43" s="711">
        <f>+'Exh F'!F41+'Exhibit G'!F32</f>
        <v>3.4</v>
      </c>
      <c r="F43" s="1161"/>
      <c r="G43" s="711">
        <f>+'Exh F'!H41+'Exhibit G'!H32</f>
        <v>278.39999999999998</v>
      </c>
      <c r="H43" s="1010"/>
      <c r="I43" s="711">
        <f>+'Exh F'!J41+'Exhibit G'!J32</f>
        <v>2.6000000000000005</v>
      </c>
      <c r="J43" s="1010"/>
      <c r="K43" s="711">
        <f>+'Exh F'!L41+'Exhibit G'!L32</f>
        <v>3.9</v>
      </c>
      <c r="L43" s="435"/>
      <c r="M43" s="711">
        <f>+'Exh F'!N41+'Exhibit G'!N32</f>
        <v>304.2</v>
      </c>
      <c r="N43" s="435"/>
      <c r="O43" s="711">
        <f>+'Exh F'!P41+'Exhibit G'!P32</f>
        <v>-2.5</v>
      </c>
      <c r="P43" s="435"/>
      <c r="Q43" s="1007"/>
      <c r="R43" s="435"/>
      <c r="S43" s="1007"/>
      <c r="T43" s="435"/>
      <c r="U43" s="1007"/>
      <c r="V43" s="435"/>
      <c r="W43" s="1007"/>
      <c r="X43" s="435"/>
      <c r="Y43" s="1007"/>
      <c r="Z43" s="435"/>
      <c r="AA43" s="2199"/>
      <c r="AB43" s="1010">
        <f>ROUND(SUM(C43:Y43),1)</f>
        <v>594.70000000000005</v>
      </c>
      <c r="AC43" s="435"/>
      <c r="AD43" s="1009"/>
      <c r="AE43" s="711">
        <f>+'Exh F'!AF41+'Exhibit G'!AF32</f>
        <v>589.29999999999995</v>
      </c>
      <c r="AF43" s="435"/>
      <c r="AG43" s="435"/>
      <c r="AH43" s="1214">
        <f>ROUND(SUM(+AB43-AE43),1)</f>
        <v>5.4</v>
      </c>
      <c r="AI43" s="277"/>
      <c r="AJ43" s="2040">
        <f t="shared" si="5"/>
        <v>8.9999999999999993E-3</v>
      </c>
    </row>
    <row r="44" spans="1:36" ht="16.5" customHeight="1">
      <c r="A44" s="1313" t="s">
        <v>1526</v>
      </c>
      <c r="B44" s="1313"/>
      <c r="C44" s="711">
        <f>+'Exh F'!D42+'Exhibit G'!D33</f>
        <v>29.299999999999997</v>
      </c>
      <c r="D44" s="1161"/>
      <c r="E44" s="711">
        <f>+'Exh F'!F42+'Exhibit G'!F33</f>
        <v>363.3</v>
      </c>
      <c r="F44" s="1161"/>
      <c r="G44" s="711">
        <f>+'Exh F'!H42+'Exhibit G'!H33</f>
        <v>526.20000000000005</v>
      </c>
      <c r="H44" s="1010"/>
      <c r="I44" s="711">
        <f>+'Exh F'!J42+'Exhibit G'!J33</f>
        <v>38.5</v>
      </c>
      <c r="J44" s="1010"/>
      <c r="K44" s="711">
        <f>+'Exh F'!L42+'Exhibit G'!L33</f>
        <v>-85.9</v>
      </c>
      <c r="L44" s="435"/>
      <c r="M44" s="711">
        <f>+'Exh F'!N42+'Exhibit G'!N33</f>
        <v>179.3</v>
      </c>
      <c r="N44" s="435"/>
      <c r="O44" s="711">
        <f>+'Exh F'!P42+'Exhibit G'!P33</f>
        <v>0.30000000000000071</v>
      </c>
      <c r="P44" s="435"/>
      <c r="Q44" s="1007"/>
      <c r="R44" s="435"/>
      <c r="S44" s="1007"/>
      <c r="T44" s="435"/>
      <c r="U44" s="1007"/>
      <c r="V44" s="435"/>
      <c r="W44" s="1007"/>
      <c r="X44" s="435"/>
      <c r="Y44" s="1007"/>
      <c r="Z44" s="435"/>
      <c r="AA44" s="2199"/>
      <c r="AB44" s="1010">
        <f>ROUND(SUM(C44:Y44),1)</f>
        <v>1051</v>
      </c>
      <c r="AC44" s="435"/>
      <c r="AD44" s="1009"/>
      <c r="AE44" s="711">
        <f>+'Exh F'!AF42+'Exhibit G'!AF33</f>
        <v>537.29999999999995</v>
      </c>
      <c r="AF44" s="435"/>
      <c r="AG44" s="435"/>
      <c r="AH44" s="1214">
        <f>ROUND(SUM(+AB44-AE44),1)</f>
        <v>513.70000000000005</v>
      </c>
      <c r="AI44" s="277"/>
      <c r="AJ44" s="2040">
        <f t="shared" si="5"/>
        <v>0.95599999999999996</v>
      </c>
    </row>
    <row r="45" spans="1:36" ht="16.5" customHeight="1">
      <c r="A45" s="1313" t="s">
        <v>1527</v>
      </c>
      <c r="B45" s="1313"/>
      <c r="C45" s="711">
        <f>+'Exh F'!D43+'Exhibit G'!D34+' Exhbit I '!E27</f>
        <v>98.800000000000011</v>
      </c>
      <c r="D45" s="1161"/>
      <c r="E45" s="711">
        <f>+'Exh F'!F43+'Exhibit G'!F34+' Exhbit I '!G27</f>
        <v>92.3</v>
      </c>
      <c r="F45" s="1161"/>
      <c r="G45" s="711">
        <f>+'Exh F'!H43+'Exhibit G'!H34+' Exhbit I '!I27</f>
        <v>109.1</v>
      </c>
      <c r="H45" s="1010"/>
      <c r="I45" s="711">
        <f>+'Exh F'!J43+'Exhibit G'!J34+' Exhbit I '!K27</f>
        <v>94.5</v>
      </c>
      <c r="J45" s="1010"/>
      <c r="K45" s="711">
        <f>+'Exh F'!L43+'Exhibit G'!L34+' Exhbit I '!M27</f>
        <v>114.30000000000001</v>
      </c>
      <c r="L45" s="435"/>
      <c r="M45" s="711">
        <f>+'Exh F'!N43+'Exhibit G'!N34+' Exhbit I '!O27</f>
        <v>103.8</v>
      </c>
      <c r="N45" s="435"/>
      <c r="O45" s="711">
        <f>+'Exh F'!P43+'Exhibit G'!P34+' Exhbit I '!Q27</f>
        <v>94.699999999999989</v>
      </c>
      <c r="P45" s="435"/>
      <c r="Q45" s="1007"/>
      <c r="R45" s="435"/>
      <c r="S45" s="1007"/>
      <c r="T45" s="435"/>
      <c r="U45" s="1007"/>
      <c r="V45" s="435"/>
      <c r="W45" s="1007"/>
      <c r="X45" s="435"/>
      <c r="Y45" s="1007"/>
      <c r="Z45" s="435"/>
      <c r="AA45" s="2199"/>
      <c r="AB45" s="1010">
        <f>ROUND(SUM(C45:Y45),1)</f>
        <v>707.5</v>
      </c>
      <c r="AC45" s="435"/>
      <c r="AD45" s="1009"/>
      <c r="AE45" s="711">
        <f>+'Exh F'!AF43+'Exhibit G'!AF34+' Exhbit I '!AG27</f>
        <v>695.4</v>
      </c>
      <c r="AF45" s="435"/>
      <c r="AG45" s="435"/>
      <c r="AH45" s="1214">
        <f>ROUND(SUM(+AB45-AE45),1)</f>
        <v>12.1</v>
      </c>
      <c r="AI45" s="277"/>
      <c r="AJ45" s="2040">
        <f t="shared" si="5"/>
        <v>1.7000000000000001E-2</v>
      </c>
    </row>
    <row r="46" spans="1:36" ht="16.5" customHeight="1">
      <c r="A46" s="594" t="s">
        <v>1522</v>
      </c>
      <c r="B46" s="1313"/>
      <c r="C46" s="1973">
        <f>ROUND(SUM(C41:C45),1)</f>
        <v>273.2</v>
      </c>
      <c r="D46" s="187"/>
      <c r="E46" s="1973">
        <f>ROUND(SUM(E41:E45),1)</f>
        <v>515.1</v>
      </c>
      <c r="F46" s="187"/>
      <c r="G46" s="1973">
        <f>ROUND(SUM(G41:G45),1)</f>
        <v>1547.6</v>
      </c>
      <c r="H46" s="435"/>
      <c r="I46" s="1973">
        <f>ROUND(SUM(I41:I45),1)</f>
        <v>231.9</v>
      </c>
      <c r="J46" s="435"/>
      <c r="K46" s="1973">
        <f>ROUND(SUM(K41:K45),1)</f>
        <v>57.3</v>
      </c>
      <c r="L46" s="435"/>
      <c r="M46" s="1973">
        <f>ROUND(SUM(M41:M45),1)</f>
        <v>1201.9000000000001</v>
      </c>
      <c r="N46" s="435"/>
      <c r="O46" s="1973">
        <f>ROUND(SUM(O41:O45),1)</f>
        <v>177.4</v>
      </c>
      <c r="P46" s="435"/>
      <c r="Q46" s="1973">
        <f>ROUND(SUM(Q41:Q45),1)</f>
        <v>0</v>
      </c>
      <c r="R46" s="435"/>
      <c r="S46" s="1973">
        <f>ROUND(SUM(S41:S45),1)</f>
        <v>0</v>
      </c>
      <c r="T46" s="435"/>
      <c r="U46" s="1973">
        <f>ROUND(SUM(U41:U45),1)</f>
        <v>0</v>
      </c>
      <c r="V46" s="435"/>
      <c r="W46" s="1973">
        <f>ROUND(SUM(W41:W45),1)</f>
        <v>0</v>
      </c>
      <c r="X46" s="435"/>
      <c r="Y46" s="1973">
        <f>ROUND(SUM(Y41:Y45),1)</f>
        <v>0</v>
      </c>
      <c r="Z46" s="435"/>
      <c r="AA46" s="2199"/>
      <c r="AB46" s="1973">
        <f>ROUND(SUM(AB41:AB45),1)</f>
        <v>4004.4</v>
      </c>
      <c r="AC46" s="435"/>
      <c r="AD46" s="1009"/>
      <c r="AE46" s="1973">
        <f>ROUND(SUM(AE41:AE45),1)</f>
        <v>3796.1</v>
      </c>
      <c r="AF46" s="435"/>
      <c r="AG46" s="435"/>
      <c r="AH46" s="1973">
        <f>ROUND(SUM(AH41:AH45),1)</f>
        <v>208.3</v>
      </c>
      <c r="AI46" s="277"/>
      <c r="AJ46" s="74">
        <f t="shared" si="5"/>
        <v>5.5E-2</v>
      </c>
    </row>
    <row r="47" spans="1:36" ht="16.5" customHeight="1">
      <c r="A47" s="2346" t="s">
        <v>1571</v>
      </c>
      <c r="B47" s="1313"/>
      <c r="C47" s="1142"/>
      <c r="D47" s="1142"/>
      <c r="E47" s="1142"/>
      <c r="F47" s="1142"/>
      <c r="G47" s="1142"/>
      <c r="H47" s="435"/>
      <c r="I47" s="1007"/>
      <c r="J47" s="435"/>
      <c r="K47" s="1007"/>
      <c r="L47" s="435"/>
      <c r="M47" s="1007"/>
      <c r="N47" s="435"/>
      <c r="O47" s="1007"/>
      <c r="P47" s="435"/>
      <c r="Q47" s="1007"/>
      <c r="R47" s="435"/>
      <c r="S47" s="1007"/>
      <c r="T47" s="435"/>
      <c r="U47" s="1007"/>
      <c r="V47" s="435"/>
      <c r="W47" s="1007"/>
      <c r="X47" s="435"/>
      <c r="Y47" s="1007"/>
      <c r="Z47" s="435"/>
      <c r="AA47" s="2199"/>
      <c r="AB47" s="435"/>
      <c r="AC47" s="435"/>
      <c r="AD47" s="1009"/>
      <c r="AE47" s="1007"/>
      <c r="AF47" s="435"/>
      <c r="AG47" s="435"/>
      <c r="AH47" s="277"/>
      <c r="AI47" s="277"/>
      <c r="AJ47" s="2343"/>
    </row>
    <row r="48" spans="1:36" ht="16.5" customHeight="1">
      <c r="A48" s="1313" t="s">
        <v>1530</v>
      </c>
      <c r="B48" s="1313"/>
      <c r="C48" s="1245">
        <v>0</v>
      </c>
      <c r="D48" s="1161"/>
      <c r="E48" s="1245">
        <v>0</v>
      </c>
      <c r="F48" s="1161"/>
      <c r="G48" s="1245">
        <v>0</v>
      </c>
      <c r="H48" s="1010"/>
      <c r="I48" s="1245">
        <v>0</v>
      </c>
      <c r="J48" s="1010"/>
      <c r="K48" s="1245">
        <v>0</v>
      </c>
      <c r="L48" s="435"/>
      <c r="M48" s="3039">
        <f>'Exh F'!N46</f>
        <v>0</v>
      </c>
      <c r="N48" s="435"/>
      <c r="O48" s="3039">
        <f>'Exh F'!P46</f>
        <v>0</v>
      </c>
      <c r="P48" s="435"/>
      <c r="Q48" s="1007"/>
      <c r="R48" s="435"/>
      <c r="S48" s="1007"/>
      <c r="T48" s="435"/>
      <c r="U48" s="1007"/>
      <c r="V48" s="435"/>
      <c r="W48" s="1007"/>
      <c r="X48" s="435"/>
      <c r="Y48" s="1007"/>
      <c r="Z48" s="435"/>
      <c r="AA48" s="2199"/>
      <c r="AB48" s="1010">
        <f t="shared" ref="AB48:AB53" si="6">ROUND(SUM(C48:Y48),1)</f>
        <v>0</v>
      </c>
      <c r="AC48" s="435"/>
      <c r="AD48" s="1009"/>
      <c r="AE48" s="3039">
        <f>+'Exh F'!AF46</f>
        <v>-0.2</v>
      </c>
      <c r="AF48" s="3251"/>
      <c r="AG48" s="3251"/>
      <c r="AH48" s="3254">
        <f t="shared" ref="AH48:AH53" si="7">ROUND(SUM(+AB48-AE48),1)</f>
        <v>0.2</v>
      </c>
      <c r="AI48" s="3255"/>
      <c r="AJ48" s="3249">
        <f>-ROUND(IF(AE48=0,0,AH48/(AE48)),3)</f>
        <v>1</v>
      </c>
    </row>
    <row r="49" spans="1:36" ht="16.5" customHeight="1">
      <c r="A49" s="1313" t="s">
        <v>1531</v>
      </c>
      <c r="B49" s="1313"/>
      <c r="C49" s="711">
        <f>+'Exh F'!D47</f>
        <v>83.7</v>
      </c>
      <c r="D49" s="1161"/>
      <c r="E49" s="711">
        <f>+'Exh F'!F47</f>
        <v>119.4</v>
      </c>
      <c r="F49" s="1161"/>
      <c r="G49" s="711">
        <f>+'Exh F'!H47</f>
        <v>67.8</v>
      </c>
      <c r="H49" s="1010"/>
      <c r="I49" s="711">
        <f>+'Exh F'!J47</f>
        <v>96.7</v>
      </c>
      <c r="J49" s="1010"/>
      <c r="K49" s="711">
        <f>+'Exh F'!L47</f>
        <v>89</v>
      </c>
      <c r="L49" s="1010"/>
      <c r="M49" s="711">
        <f>+'Exh F'!N47</f>
        <v>104.9</v>
      </c>
      <c r="N49" s="435"/>
      <c r="O49" s="711">
        <f>+'Exh F'!P47</f>
        <v>104.4</v>
      </c>
      <c r="P49" s="435"/>
      <c r="Q49" s="1007"/>
      <c r="R49" s="435"/>
      <c r="S49" s="1007"/>
      <c r="T49" s="435"/>
      <c r="U49" s="1007"/>
      <c r="V49" s="435"/>
      <c r="W49" s="1007"/>
      <c r="X49" s="435"/>
      <c r="Y49" s="1007"/>
      <c r="Z49" s="435"/>
      <c r="AA49" s="2199"/>
      <c r="AB49" s="1010">
        <f t="shared" si="6"/>
        <v>665.9</v>
      </c>
      <c r="AC49" s="435"/>
      <c r="AD49" s="1009"/>
      <c r="AE49" s="711">
        <f>+'Exh F'!AF47</f>
        <v>791.6</v>
      </c>
      <c r="AF49" s="435"/>
      <c r="AG49" s="435"/>
      <c r="AH49" s="1214">
        <f t="shared" si="7"/>
        <v>-125.7</v>
      </c>
      <c r="AI49" s="277"/>
      <c r="AJ49" s="2040">
        <f t="shared" ref="AJ49:AJ54" si="8">ROUND(IF(AE49=0,0,AH49/(AE49)),3)</f>
        <v>-0.159</v>
      </c>
    </row>
    <row r="50" spans="1:36" ht="16.5" customHeight="1">
      <c r="A50" s="1313" t="s">
        <v>1532</v>
      </c>
      <c r="B50" s="1313"/>
      <c r="C50" s="711">
        <f>+'Exh F'!D48</f>
        <v>1</v>
      </c>
      <c r="D50" s="1161"/>
      <c r="E50" s="711">
        <f>+'Exh F'!F48</f>
        <v>1.5</v>
      </c>
      <c r="F50" s="1161"/>
      <c r="G50" s="711">
        <f>+'Exh F'!H48</f>
        <v>2.1</v>
      </c>
      <c r="H50" s="1010"/>
      <c r="I50" s="711">
        <f>+'Exh F'!J48</f>
        <v>1.4</v>
      </c>
      <c r="J50" s="1010"/>
      <c r="K50" s="711">
        <f>+'Exh F'!L48</f>
        <v>2.7</v>
      </c>
      <c r="L50" s="1010"/>
      <c r="M50" s="711">
        <f>+'Exh F'!N48</f>
        <v>2.2999999999999998</v>
      </c>
      <c r="N50" s="435"/>
      <c r="O50" s="711">
        <f>+'Exh F'!P48</f>
        <v>1.4</v>
      </c>
      <c r="P50" s="435"/>
      <c r="Q50" s="1007"/>
      <c r="R50" s="435"/>
      <c r="S50" s="1007"/>
      <c r="T50" s="435"/>
      <c r="U50" s="1007"/>
      <c r="V50" s="435"/>
      <c r="W50" s="1007"/>
      <c r="X50" s="435"/>
      <c r="Y50" s="1007"/>
      <c r="Z50" s="435"/>
      <c r="AA50" s="2199"/>
      <c r="AB50" s="1010">
        <f t="shared" si="6"/>
        <v>12.4</v>
      </c>
      <c r="AC50" s="435"/>
      <c r="AD50" s="1009"/>
      <c r="AE50" s="711">
        <f>+'Exh F'!AF48</f>
        <v>11</v>
      </c>
      <c r="AF50" s="435"/>
      <c r="AG50" s="435"/>
      <c r="AH50" s="1214">
        <f t="shared" si="7"/>
        <v>1.4</v>
      </c>
      <c r="AI50" s="277"/>
      <c r="AJ50" s="2040">
        <f t="shared" si="8"/>
        <v>0.127</v>
      </c>
    </row>
    <row r="51" spans="1:36" ht="16.5" customHeight="1">
      <c r="A51" s="1313" t="s">
        <v>1533</v>
      </c>
      <c r="B51" s="1313"/>
      <c r="C51" s="711">
        <f>+'Exh F'!D49+'Exhibit H'!B22+' Exhbit I '!E30</f>
        <v>73.3</v>
      </c>
      <c r="D51" s="1161"/>
      <c r="E51" s="711">
        <f>+'Exh F'!F49+'Exhibit H'!D22+' Exhbit I '!G30</f>
        <v>72.900000000000006</v>
      </c>
      <c r="F51" s="1161"/>
      <c r="G51" s="711">
        <f>+'Exh F'!H49+'Exhibit H'!F22+' Exhbit I '!I30</f>
        <v>90</v>
      </c>
      <c r="H51" s="1010"/>
      <c r="I51" s="711">
        <f>+'Exh F'!J49+'Exhibit H'!H22+' Exhbit I '!K30</f>
        <v>81.300000000000011</v>
      </c>
      <c r="J51" s="1010"/>
      <c r="K51" s="711">
        <f>+'Exh F'!L49+'Exhibit H'!J22+' Exhbit I '!M30</f>
        <v>95.9</v>
      </c>
      <c r="L51" s="1010"/>
      <c r="M51" s="711">
        <f>+'Exh F'!N49+'Exhibit H'!L22+' Exhbit I '!O30</f>
        <v>87</v>
      </c>
      <c r="N51" s="435"/>
      <c r="O51" s="711">
        <f>+'Exh F'!P49+'Exhibit H'!N22+' Exhbit I '!Q30</f>
        <v>92.8</v>
      </c>
      <c r="P51" s="435"/>
      <c r="Q51" s="1007"/>
      <c r="R51" s="435"/>
      <c r="S51" s="1007"/>
      <c r="T51" s="435"/>
      <c r="U51" s="1007"/>
      <c r="V51" s="435"/>
      <c r="W51" s="1007"/>
      <c r="X51" s="435"/>
      <c r="Y51" s="1007"/>
      <c r="Z51" s="435"/>
      <c r="AA51" s="2199"/>
      <c r="AB51" s="1010">
        <f t="shared" si="6"/>
        <v>593.20000000000005</v>
      </c>
      <c r="AC51" s="435"/>
      <c r="AD51" s="1009"/>
      <c r="AE51" s="711">
        <f>+'Exh F'!AF49+'Exhibit H'!AD22+' Exhbit I '!AG30</f>
        <v>510.90000000000003</v>
      </c>
      <c r="AF51" s="435"/>
      <c r="AG51" s="435"/>
      <c r="AH51" s="1214">
        <f t="shared" si="7"/>
        <v>82.3</v>
      </c>
      <c r="AI51" s="277"/>
      <c r="AJ51" s="2040">
        <f t="shared" si="8"/>
        <v>0.161</v>
      </c>
    </row>
    <row r="52" spans="1:36" ht="16.5" customHeight="1">
      <c r="A52" s="1313" t="s">
        <v>1534</v>
      </c>
      <c r="B52" s="1313"/>
      <c r="C52" s="711">
        <f>+'Exh F'!D50</f>
        <v>0.1</v>
      </c>
      <c r="D52" s="1161"/>
      <c r="E52" s="711">
        <f>+'Exh F'!F50</f>
        <v>0</v>
      </c>
      <c r="F52" s="1161"/>
      <c r="G52" s="711">
        <f>+'Exh F'!H50</f>
        <v>0</v>
      </c>
      <c r="H52" s="1010"/>
      <c r="I52" s="711">
        <f>+'Exh F'!J50</f>
        <v>0.2</v>
      </c>
      <c r="J52" s="1010"/>
      <c r="K52" s="711">
        <f>+'Exh F'!L50</f>
        <v>0.2</v>
      </c>
      <c r="L52" s="1010"/>
      <c r="M52" s="711">
        <f>+'Exh F'!N50</f>
        <v>0</v>
      </c>
      <c r="N52" s="435"/>
      <c r="O52" s="711">
        <f>+'Exh F'!P50</f>
        <v>0.1</v>
      </c>
      <c r="P52" s="435"/>
      <c r="Q52" s="1007"/>
      <c r="R52" s="435"/>
      <c r="S52" s="1007"/>
      <c r="T52" s="435"/>
      <c r="U52" s="1007"/>
      <c r="V52" s="435"/>
      <c r="W52" s="1007"/>
      <c r="X52" s="435"/>
      <c r="Y52" s="1007"/>
      <c r="Z52" s="435"/>
      <c r="AA52" s="2199"/>
      <c r="AB52" s="1010">
        <f t="shared" si="6"/>
        <v>0.6</v>
      </c>
      <c r="AC52" s="435"/>
      <c r="AD52" s="1009"/>
      <c r="AE52" s="711">
        <f>+'Exh F'!AF50</f>
        <v>0.8</v>
      </c>
      <c r="AF52" s="435"/>
      <c r="AG52" s="435"/>
      <c r="AH52" s="1214">
        <f t="shared" si="7"/>
        <v>-0.2</v>
      </c>
      <c r="AI52" s="277"/>
      <c r="AJ52" s="2040">
        <f t="shared" si="8"/>
        <v>-0.25</v>
      </c>
    </row>
    <row r="53" spans="1:36" ht="16.5" customHeight="1">
      <c r="A53" s="2386" t="s">
        <v>1535</v>
      </c>
      <c r="B53" s="1313"/>
      <c r="C53" s="711">
        <f>+'Exh F'!D51+'Exhibit G'!D37</f>
        <v>128.80000000000001</v>
      </c>
      <c r="D53" s="1161"/>
      <c r="E53" s="711">
        <f>+'Exh F'!F51+'Exhibit G'!F37</f>
        <v>96.2</v>
      </c>
      <c r="F53" s="1161"/>
      <c r="G53" s="711">
        <f>+'Exh F'!H51+'Exhibit G'!H37</f>
        <v>79.900000000000006</v>
      </c>
      <c r="H53" s="1010"/>
      <c r="I53" s="711">
        <f>+'Exh F'!J51+'Exhibit G'!J37</f>
        <v>98.2</v>
      </c>
      <c r="J53" s="1010"/>
      <c r="K53" s="711">
        <f>+'Exh F'!L51+'Exhibit G'!L37</f>
        <v>85.1</v>
      </c>
      <c r="L53" s="435"/>
      <c r="M53" s="711">
        <f>+'Exh F'!N51+'Exhibit G'!N37</f>
        <v>81.8</v>
      </c>
      <c r="N53" s="435"/>
      <c r="O53" s="711">
        <f>+'Exh F'!P51+'Exhibit G'!P37</f>
        <v>101.6</v>
      </c>
      <c r="P53" s="435"/>
      <c r="Q53" s="1007"/>
      <c r="R53" s="435"/>
      <c r="S53" s="1007"/>
      <c r="T53" s="435"/>
      <c r="U53" s="1007"/>
      <c r="V53" s="435"/>
      <c r="W53" s="1007"/>
      <c r="X53" s="435"/>
      <c r="Y53" s="1007"/>
      <c r="Z53" s="435"/>
      <c r="AA53" s="2199"/>
      <c r="AB53" s="1010">
        <f t="shared" si="6"/>
        <v>671.6</v>
      </c>
      <c r="AC53" s="435"/>
      <c r="AD53" s="1009"/>
      <c r="AE53" s="711">
        <f>+'Exh F'!AF51+'Exhibit G'!AF37</f>
        <v>642.20000000000005</v>
      </c>
      <c r="AF53" s="435"/>
      <c r="AG53" s="435"/>
      <c r="AH53" s="1214">
        <f t="shared" si="7"/>
        <v>29.4</v>
      </c>
      <c r="AI53" s="277"/>
      <c r="AJ53" s="2040">
        <f t="shared" si="8"/>
        <v>4.5999999999999999E-2</v>
      </c>
    </row>
    <row r="54" spans="1:36" ht="16.5" customHeight="1">
      <c r="A54" s="594" t="s">
        <v>1528</v>
      </c>
      <c r="B54" s="1313"/>
      <c r="C54" s="1973">
        <f>ROUND(SUM(C48:C53),1)</f>
        <v>286.89999999999998</v>
      </c>
      <c r="D54" s="187"/>
      <c r="E54" s="1973">
        <f>ROUND(SUM(E48:E53),1)</f>
        <v>290</v>
      </c>
      <c r="F54" s="187"/>
      <c r="G54" s="1973">
        <f>ROUND(SUM(G48:G53),1)</f>
        <v>239.8</v>
      </c>
      <c r="H54" s="435"/>
      <c r="I54" s="1973">
        <f>ROUND(SUM(I48:I53),1)</f>
        <v>277.8</v>
      </c>
      <c r="J54" s="435"/>
      <c r="K54" s="1973">
        <f>ROUND(SUM(K48:K53),1)</f>
        <v>272.89999999999998</v>
      </c>
      <c r="L54" s="435"/>
      <c r="M54" s="1973">
        <f>ROUND(SUM(M48:M53),1)</f>
        <v>276</v>
      </c>
      <c r="N54" s="435"/>
      <c r="O54" s="1973">
        <f>ROUND(SUM(O48:O53),1)</f>
        <v>300.3</v>
      </c>
      <c r="P54" s="435"/>
      <c r="Q54" s="1973">
        <f>ROUND(SUM(Q48:Q53),1)</f>
        <v>0</v>
      </c>
      <c r="R54" s="435"/>
      <c r="S54" s="1973">
        <f>ROUND(SUM(S48:S53),1)</f>
        <v>0</v>
      </c>
      <c r="T54" s="435"/>
      <c r="U54" s="1973">
        <f>ROUND(SUM(U48:U53),1)</f>
        <v>0</v>
      </c>
      <c r="V54" s="435"/>
      <c r="W54" s="1973">
        <f>ROUND(SUM(W48:W53),1)</f>
        <v>0</v>
      </c>
      <c r="X54" s="435"/>
      <c r="Y54" s="1973">
        <f>ROUND(SUM(Y48:Y53),1)</f>
        <v>0</v>
      </c>
      <c r="Z54" s="435"/>
      <c r="AA54" s="2199"/>
      <c r="AB54" s="1973">
        <f>ROUND(SUM(AB48:AB53),1)</f>
        <v>1943.7</v>
      </c>
      <c r="AC54" s="435"/>
      <c r="AD54" s="1009"/>
      <c r="AE54" s="1973">
        <f>ROUND(SUM(AE48:AE53),1)</f>
        <v>1956.3</v>
      </c>
      <c r="AF54" s="435"/>
      <c r="AG54" s="435"/>
      <c r="AH54" s="1973">
        <f>ROUND(SUM(AH48:AH53),1)</f>
        <v>-12.6</v>
      </c>
      <c r="AI54" s="277"/>
      <c r="AJ54" s="74">
        <f t="shared" si="8"/>
        <v>-6.0000000000000001E-3</v>
      </c>
    </row>
    <row r="55" spans="1:36" ht="16.5" customHeight="1">
      <c r="A55" s="594"/>
      <c r="B55" s="1313"/>
      <c r="C55" s="189"/>
      <c r="D55" s="189"/>
      <c r="E55" s="189"/>
      <c r="F55" s="189"/>
      <c r="G55" s="189"/>
      <c r="H55" s="2382"/>
      <c r="I55" s="2625"/>
      <c r="J55" s="2382"/>
      <c r="K55" s="2625"/>
      <c r="L55" s="2382"/>
      <c r="M55" s="2625"/>
      <c r="N55" s="2382"/>
      <c r="O55" s="2625"/>
      <c r="P55" s="2382"/>
      <c r="Q55" s="2625"/>
      <c r="R55" s="2382"/>
      <c r="S55" s="2625"/>
      <c r="T55" s="2382"/>
      <c r="U55" s="2625"/>
      <c r="V55" s="2382"/>
      <c r="W55" s="2625"/>
      <c r="X55" s="2382"/>
      <c r="Y55" s="2625"/>
      <c r="Z55" s="435"/>
      <c r="AA55" s="1008"/>
      <c r="AB55" s="2382"/>
      <c r="AC55" s="435"/>
      <c r="AD55" s="1009"/>
      <c r="AE55" s="2382"/>
      <c r="AF55" s="435"/>
      <c r="AG55" s="435"/>
      <c r="AH55" s="1310"/>
      <c r="AI55" s="435"/>
      <c r="AJ55" s="1310"/>
    </row>
    <row r="56" spans="1:36" ht="16.5" customHeight="1">
      <c r="A56" s="594" t="s">
        <v>1529</v>
      </c>
      <c r="B56" s="226"/>
      <c r="C56" s="198">
        <f>ROUND(SUM(C54+C46+C39+C30),1)</f>
        <v>7117.8</v>
      </c>
      <c r="D56" s="265"/>
      <c r="E56" s="198">
        <f>ROUND(SUM(E54+E46+E39+E30),1)</f>
        <v>4071.2</v>
      </c>
      <c r="F56" s="265"/>
      <c r="G56" s="198">
        <f>ROUND(SUM(G54+G46+G39+G30),1)</f>
        <v>7527.7</v>
      </c>
      <c r="H56" s="265"/>
      <c r="I56" s="198">
        <f>ROUND(SUM(I54+I46+I39+I30),1)</f>
        <v>4304.8</v>
      </c>
      <c r="J56" s="265"/>
      <c r="K56" s="198">
        <f>ROUND(SUM(K54+K46+K39+K30),1)</f>
        <v>3915.8</v>
      </c>
      <c r="L56" s="265"/>
      <c r="M56" s="198">
        <f>ROUND(SUM(M54+M46+M39+M30),1)</f>
        <v>7265.4</v>
      </c>
      <c r="N56" s="265"/>
      <c r="O56" s="198">
        <f>ROUND(SUM(O54+O46+O39+O30),1)</f>
        <v>4171.8999999999996</v>
      </c>
      <c r="P56" s="265"/>
      <c r="Q56" s="198">
        <f>ROUND(SUM(Q54+Q46+Q39+Q30),1)</f>
        <v>0</v>
      </c>
      <c r="R56" s="265"/>
      <c r="S56" s="198">
        <f>ROUND(SUM(S54+S46+S39+S30),1)</f>
        <v>0</v>
      </c>
      <c r="T56" s="265"/>
      <c r="U56" s="198">
        <f>ROUND(SUM(U54+U46+U39+U30),1)</f>
        <v>0</v>
      </c>
      <c r="V56" s="265"/>
      <c r="W56" s="198">
        <f>ROUND(SUM(W54+W46+W39+W30),1)</f>
        <v>0</v>
      </c>
      <c r="X56" s="372"/>
      <c r="Y56" s="198">
        <f>ROUND(SUM(Y54+Y46+Y39+Y30),1)</f>
        <v>0</v>
      </c>
      <c r="Z56" s="372"/>
      <c r="AA56" s="241"/>
      <c r="AB56" s="631">
        <f>ROUND(+AB54+AB46+AB39+AB30,1)</f>
        <v>38374.6</v>
      </c>
      <c r="AC56" s="265"/>
      <c r="AD56" s="254"/>
      <c r="AE56" s="631">
        <f>ROUND(+AE54+AE46+AE39+AE30,1)</f>
        <v>38609</v>
      </c>
      <c r="AF56" s="253"/>
      <c r="AG56" s="1330"/>
      <c r="AH56" s="631">
        <f>ROUND(+AH54+AH46+AH39+AH30,1)</f>
        <v>-234.4</v>
      </c>
      <c r="AI56" s="2176"/>
      <c r="AJ56" s="2230">
        <f>ROUND(IF(AE56=0,0,AH56/(AE56)),3)</f>
        <v>-6.0000000000000001E-3</v>
      </c>
    </row>
    <row r="57" spans="1:36" ht="16.5" customHeight="1">
      <c r="A57" s="435"/>
      <c r="B57" s="435"/>
      <c r="C57" s="1010"/>
      <c r="D57" s="1010"/>
      <c r="E57" s="1010"/>
      <c r="F57" s="1010"/>
      <c r="G57" s="1010"/>
      <c r="H57" s="1010"/>
      <c r="I57" s="1010"/>
      <c r="J57" s="1010"/>
      <c r="K57" s="1010"/>
      <c r="L57" s="1010"/>
      <c r="M57" s="1010"/>
      <c r="N57" s="1010"/>
      <c r="O57" s="189"/>
      <c r="P57" s="1010"/>
      <c r="Q57" s="1010"/>
      <c r="R57" s="1010"/>
      <c r="S57" s="1010"/>
      <c r="T57" s="1010"/>
      <c r="U57" s="1010"/>
      <c r="V57" s="1010"/>
      <c r="X57" s="1010"/>
      <c r="Y57" s="1010"/>
      <c r="Z57" s="1010"/>
      <c r="AA57" s="1011"/>
      <c r="AB57" s="1010"/>
      <c r="AC57" s="1010"/>
      <c r="AD57" s="1012"/>
      <c r="AE57" s="1010"/>
      <c r="AF57" s="1010"/>
      <c r="AG57" s="1010"/>
      <c r="AH57" s="1010"/>
      <c r="AI57" s="435"/>
      <c r="AJ57" s="2201"/>
    </row>
    <row r="58" spans="1:36" ht="16.5" customHeight="1">
      <c r="A58" s="495" t="s">
        <v>1428</v>
      </c>
      <c r="B58" s="1977"/>
      <c r="C58" s="1010"/>
      <c r="D58" s="1010"/>
      <c r="E58" s="1010"/>
      <c r="F58" s="1010"/>
      <c r="G58" s="1010"/>
      <c r="H58" s="1010"/>
      <c r="I58" s="1010"/>
      <c r="J58" s="1010"/>
      <c r="K58" s="1010"/>
      <c r="L58" s="1010"/>
      <c r="M58" s="1010"/>
      <c r="N58" s="1010"/>
      <c r="O58" s="1010"/>
      <c r="P58" s="1010"/>
      <c r="Q58" s="1010"/>
      <c r="R58" s="1010"/>
      <c r="S58" s="1010"/>
      <c r="T58" s="1010"/>
      <c r="U58" s="1010"/>
      <c r="V58" s="1010"/>
      <c r="X58" s="1010"/>
      <c r="Y58" s="1010"/>
      <c r="Z58" s="1010"/>
      <c r="AA58" s="1011"/>
      <c r="AB58" s="1010"/>
      <c r="AC58" s="1010"/>
      <c r="AD58" s="1012"/>
      <c r="AE58" s="1010"/>
      <c r="AF58" s="1010"/>
      <c r="AG58" s="1010"/>
      <c r="AH58" s="1010"/>
      <c r="AI58" s="435"/>
      <c r="AJ58" s="2201"/>
    </row>
    <row r="59" spans="1:36" ht="16.5" customHeight="1">
      <c r="A59" s="1979" t="s">
        <v>1561</v>
      </c>
      <c r="B59" s="1977"/>
      <c r="C59" s="1010"/>
      <c r="D59" s="1010"/>
      <c r="E59" s="1010"/>
      <c r="F59" s="1010"/>
      <c r="G59" s="1010"/>
      <c r="H59" s="1010"/>
      <c r="I59" s="1010"/>
      <c r="J59" s="1010"/>
      <c r="K59" s="1010"/>
      <c r="L59" s="1010"/>
      <c r="M59" s="1010"/>
      <c r="N59" s="1010"/>
      <c r="O59" s="1010"/>
      <c r="P59" s="1010"/>
      <c r="Q59" s="1010"/>
      <c r="R59" s="1010"/>
      <c r="S59" s="1010"/>
      <c r="T59" s="1010"/>
      <c r="U59" s="1010"/>
      <c r="V59" s="1010"/>
      <c r="X59" s="1010"/>
      <c r="Y59" s="1010"/>
      <c r="Z59" s="1010"/>
      <c r="AA59" s="1011"/>
      <c r="AB59" s="1010"/>
      <c r="AC59" s="1010"/>
      <c r="AD59" s="1012"/>
      <c r="AE59" s="1010"/>
      <c r="AF59" s="1010"/>
      <c r="AG59" s="1010"/>
      <c r="AH59" s="1010"/>
      <c r="AI59" s="435"/>
      <c r="AJ59" s="2201"/>
    </row>
    <row r="60" spans="1:36" ht="16.5" customHeight="1">
      <c r="A60" s="1979" t="s">
        <v>1426</v>
      </c>
      <c r="B60" s="1979"/>
      <c r="C60" s="1010">
        <f>+'Exh F'!D58+'Exhibit G'!D44</f>
        <v>1.5</v>
      </c>
      <c r="D60" s="1010"/>
      <c r="E60" s="1010">
        <f>+'Exh F'!F58+'Exhibit G'!F44</f>
        <v>1.1000000000000001</v>
      </c>
      <c r="F60" s="1010"/>
      <c r="G60" s="1010">
        <f>+'Exh F'!H58+'Exhibit G'!H44</f>
        <v>0.9</v>
      </c>
      <c r="H60" s="1010"/>
      <c r="I60" s="1010">
        <f>+'Exh F'!J58+'Exhibit G'!J44</f>
        <v>1.4000000000000001</v>
      </c>
      <c r="J60" s="1010"/>
      <c r="K60" s="1010">
        <f>+'Exh F'!L58+'Exhibit G'!L44</f>
        <v>0.70000000000000007</v>
      </c>
      <c r="L60" s="1010"/>
      <c r="M60" s="1010">
        <f>+'Exh F'!N58+'Exhibit G'!N44</f>
        <v>1</v>
      </c>
      <c r="N60" s="1010"/>
      <c r="O60" s="1010">
        <f>+'Exh F'!P58+'Exhibit G'!P44</f>
        <v>95</v>
      </c>
      <c r="P60" s="1010"/>
      <c r="Q60" s="1010"/>
      <c r="R60" s="1010"/>
      <c r="S60" s="1010"/>
      <c r="T60" s="1010"/>
      <c r="U60" s="1010"/>
      <c r="V60" s="1010"/>
      <c r="X60" s="1010"/>
      <c r="Y60" s="1010"/>
      <c r="Z60" s="1010"/>
      <c r="AA60" s="1011"/>
      <c r="AB60" s="1010">
        <f t="shared" ref="AB60:AB98" si="9">ROUND(SUM(C60:Y60),1)</f>
        <v>101.6</v>
      </c>
      <c r="AC60" s="1010"/>
      <c r="AD60" s="1012"/>
      <c r="AE60" s="1010">
        <f>+'Exh F'!AF58+'Exhibit G'!AF44</f>
        <v>78</v>
      </c>
      <c r="AF60" s="1010"/>
      <c r="AG60" s="1010"/>
      <c r="AH60" s="1010">
        <f t="shared" ref="AH60:AH98" si="10">ROUND(SUM(AB60-AE60),1)</f>
        <v>23.6</v>
      </c>
      <c r="AI60" s="435"/>
      <c r="AJ60" s="2040">
        <f>ROUND(IF(AE60=0,0,AH60/(AE60)),3)</f>
        <v>0.30299999999999999</v>
      </c>
    </row>
    <row r="61" spans="1:36" ht="16.5" customHeight="1">
      <c r="A61" s="1979" t="s">
        <v>1427</v>
      </c>
      <c r="B61" s="1979"/>
      <c r="C61" s="1010">
        <f>+'Exh F'!D59+' Exhbit I '!E37</f>
        <v>0.1</v>
      </c>
      <c r="D61" s="1010"/>
      <c r="E61" s="1010">
        <f>+'Exh F'!F59+' Exhbit I '!G37</f>
        <v>0</v>
      </c>
      <c r="F61" s="1010"/>
      <c r="G61" s="1010">
        <f>+'Exh F'!H59+' Exhbit I '!I37</f>
        <v>29.5</v>
      </c>
      <c r="H61" s="1010"/>
      <c r="I61" s="1010">
        <f>+'Exh F'!J59+' Exhbit I '!K37</f>
        <v>9.9999999999999645E-2</v>
      </c>
      <c r="J61" s="1010"/>
      <c r="K61" s="1010">
        <f>+'Exh F'!L59+' Exhbit I '!M37</f>
        <v>0.2</v>
      </c>
      <c r="L61" s="1010"/>
      <c r="M61" s="1010">
        <f>+'Exh F'!N59+' Exhbit I '!O37</f>
        <v>30.5</v>
      </c>
      <c r="N61" s="1010"/>
      <c r="O61" s="1010">
        <f>+'Exh F'!P59+' Exhbit I '!Q37</f>
        <v>0.3</v>
      </c>
      <c r="P61" s="1010"/>
      <c r="Q61" s="1010"/>
      <c r="R61" s="1010"/>
      <c r="S61" s="1010"/>
      <c r="T61" s="1010"/>
      <c r="U61" s="1010"/>
      <c r="V61" s="1010"/>
      <c r="X61" s="1010"/>
      <c r="Y61" s="1010"/>
      <c r="Z61" s="1010"/>
      <c r="AA61" s="1011"/>
      <c r="AB61" s="1010">
        <f t="shared" si="9"/>
        <v>60.7</v>
      </c>
      <c r="AC61" s="1010"/>
      <c r="AD61" s="1012"/>
      <c r="AE61" s="1010">
        <f>+'Exh F'!AF59+' Exhbit I '!AG37</f>
        <v>69</v>
      </c>
      <c r="AF61" s="1010"/>
      <c r="AG61" s="1010"/>
      <c r="AH61" s="1010">
        <f t="shared" si="10"/>
        <v>-8.3000000000000007</v>
      </c>
      <c r="AI61" s="435"/>
      <c r="AJ61" s="2040">
        <f>ROUND(IF(AE61=0,0,AH61/(AE61)),3)</f>
        <v>-0.12</v>
      </c>
    </row>
    <row r="62" spans="1:36" ht="16.5" customHeight="1">
      <c r="A62" s="1979" t="s">
        <v>1562</v>
      </c>
      <c r="B62" s="1979"/>
      <c r="C62" s="1010"/>
      <c r="D62" s="1010"/>
      <c r="E62" s="1010"/>
      <c r="F62" s="1010"/>
      <c r="G62" s="1010"/>
      <c r="H62" s="1010"/>
      <c r="I62" s="1010"/>
      <c r="J62" s="1010"/>
      <c r="K62" s="1010"/>
      <c r="L62" s="1010"/>
      <c r="M62" s="1010"/>
      <c r="N62" s="1010"/>
      <c r="O62" s="1010"/>
      <c r="P62" s="1010"/>
      <c r="Q62" s="1010"/>
      <c r="R62" s="1010"/>
      <c r="S62" s="1010"/>
      <c r="T62" s="1010"/>
      <c r="U62" s="1010"/>
      <c r="V62" s="1010"/>
      <c r="X62" s="1010"/>
      <c r="Y62" s="1010"/>
      <c r="Z62" s="1010"/>
      <c r="AA62" s="1011"/>
      <c r="AB62" s="1010"/>
      <c r="AC62" s="1010"/>
      <c r="AD62" s="1012"/>
      <c r="AE62" s="1010"/>
      <c r="AF62" s="1010"/>
      <c r="AG62" s="1010"/>
      <c r="AH62" s="1010"/>
      <c r="AI62" s="435"/>
      <c r="AJ62" s="2040"/>
    </row>
    <row r="63" spans="1:36" ht="16.5" customHeight="1">
      <c r="A63" s="1979" t="s">
        <v>1431</v>
      </c>
      <c r="B63" s="1979"/>
      <c r="C63" s="1010">
        <f>+'Exh F'!D61+'Exhibit G'!D46+' Exhbit I '!E39</f>
        <v>73.2</v>
      </c>
      <c r="D63" s="1010"/>
      <c r="E63" s="1010">
        <f>+'Exh F'!F61+'Exhibit G'!F46+' Exhbit I '!G39</f>
        <v>1099.5</v>
      </c>
      <c r="F63" s="1010"/>
      <c r="G63" s="1010">
        <f>+'Exh F'!H61+'Exhibit G'!H46+' Exhbit I '!I39</f>
        <v>156.79999999999998</v>
      </c>
      <c r="H63" s="1010"/>
      <c r="I63" s="1010">
        <f>+'Exh F'!J61+'Exhibit G'!J46+' Exhbit I '!K39</f>
        <v>17.499999999999996</v>
      </c>
      <c r="J63" s="1010"/>
      <c r="K63" s="1010">
        <f>+'Exh F'!L61+'Exhibit G'!L46+' Exhbit I '!M39</f>
        <v>69.099999999999994</v>
      </c>
      <c r="L63" s="1010"/>
      <c r="M63" s="1010">
        <f>+'Exh F'!N61+'Exhibit G'!N46+' Exhbit I '!O39</f>
        <v>145.69999999999999</v>
      </c>
      <c r="N63" s="1010"/>
      <c r="O63" s="1010">
        <f>+'Exh F'!P61+'Exhibit G'!P46+' Exhbit I '!Q39</f>
        <v>28.6</v>
      </c>
      <c r="P63" s="1010"/>
      <c r="Q63" s="1010"/>
      <c r="R63" s="1010"/>
      <c r="S63" s="1010"/>
      <c r="T63" s="1010"/>
      <c r="U63" s="1010"/>
      <c r="V63" s="1010"/>
      <c r="X63" s="1010"/>
      <c r="Y63" s="1010"/>
      <c r="Z63" s="1010"/>
      <c r="AA63" s="1011"/>
      <c r="AB63" s="1010">
        <f t="shared" si="9"/>
        <v>1590.4</v>
      </c>
      <c r="AC63" s="1010"/>
      <c r="AD63" s="1012"/>
      <c r="AE63" s="1010">
        <f>+'Exh F'!AF61+'Exhibit G'!AF46+' Exhbit I '!AG39</f>
        <v>785.3</v>
      </c>
      <c r="AF63" s="1010"/>
      <c r="AG63" s="1010"/>
      <c r="AH63" s="1010">
        <f t="shared" si="10"/>
        <v>805.1</v>
      </c>
      <c r="AI63" s="435"/>
      <c r="AJ63" s="2040">
        <f>ROUND(IF(AE63=0,0,AH63/(AE63)),3)</f>
        <v>1.0249999999999999</v>
      </c>
    </row>
    <row r="64" spans="1:36" ht="16.5" customHeight="1">
      <c r="A64" s="1979" t="s">
        <v>1432</v>
      </c>
      <c r="B64" s="1979"/>
      <c r="C64" s="1010">
        <f>+'Exh F'!D62+'Exhibit G'!D47</f>
        <v>391.5</v>
      </c>
      <c r="D64" s="1010"/>
      <c r="E64" s="1010">
        <f>+'Exh F'!F62+'Exhibit G'!F47</f>
        <v>379.90000000000003</v>
      </c>
      <c r="F64" s="1010"/>
      <c r="G64" s="1010">
        <f>+'Exh F'!H62+'Exhibit G'!H47</f>
        <v>365.5</v>
      </c>
      <c r="H64" s="1010"/>
      <c r="I64" s="1010">
        <f>+'Exh F'!J62+'Exhibit G'!J47</f>
        <v>450.69999999999982</v>
      </c>
      <c r="J64" s="1010"/>
      <c r="K64" s="1010">
        <f>+'Exh F'!L62+'Exhibit G'!L47</f>
        <v>444.5</v>
      </c>
      <c r="L64" s="1010"/>
      <c r="M64" s="1010">
        <f>+'Exh F'!N62+'Exhibit G'!N47</f>
        <v>468.1</v>
      </c>
      <c r="N64" s="1010"/>
      <c r="O64" s="1010">
        <f>+'Exh F'!P62+'Exhibit G'!P47</f>
        <v>428.40000000000003</v>
      </c>
      <c r="P64" s="1010"/>
      <c r="Q64" s="1010"/>
      <c r="R64" s="1010"/>
      <c r="S64" s="1010"/>
      <c r="T64" s="1010"/>
      <c r="U64" s="1010"/>
      <c r="V64" s="1010"/>
      <c r="X64" s="1010"/>
      <c r="Y64" s="1010"/>
      <c r="Z64" s="1010"/>
      <c r="AA64" s="1011"/>
      <c r="AB64" s="1010">
        <f t="shared" si="9"/>
        <v>2928.6</v>
      </c>
      <c r="AC64" s="1010"/>
      <c r="AD64" s="1012"/>
      <c r="AE64" s="1010">
        <f>+'Exh F'!AF62+'Exhibit G'!AF47</f>
        <v>2841.7999999999997</v>
      </c>
      <c r="AF64" s="1010"/>
      <c r="AG64" s="1010"/>
      <c r="AH64" s="1010">
        <f t="shared" si="10"/>
        <v>86.8</v>
      </c>
      <c r="AI64" s="435"/>
      <c r="AJ64" s="2040">
        <f>ROUND(IF(AE64=0,0,AH64/(AE64)),3)</f>
        <v>3.1E-2</v>
      </c>
    </row>
    <row r="65" spans="1:36" ht="16.5" customHeight="1">
      <c r="A65" s="1979" t="s">
        <v>1433</v>
      </c>
      <c r="B65" s="1979"/>
      <c r="C65" s="1010">
        <f>+'Exh F'!D63+'Exhibit G'!D48</f>
        <v>0.5</v>
      </c>
      <c r="D65" s="1010"/>
      <c r="E65" s="1010">
        <f>+'Exh F'!F63+'Exhibit G'!F48</f>
        <v>0</v>
      </c>
      <c r="F65" s="1010"/>
      <c r="G65" s="1010">
        <f>+'Exh F'!H63+'Exhibit G'!H48</f>
        <v>0.3</v>
      </c>
      <c r="H65" s="1010"/>
      <c r="I65" s="1010">
        <f>+'Exh F'!J63+'Exhibit G'!J48</f>
        <v>0</v>
      </c>
      <c r="J65" s="1010"/>
      <c r="K65" s="1010">
        <f>+'Exh F'!L63+'Exhibit G'!L48</f>
        <v>0.4</v>
      </c>
      <c r="L65" s="1010"/>
      <c r="M65" s="1010">
        <f>+'Exh F'!N63+'Exhibit G'!N48</f>
        <v>213.2</v>
      </c>
      <c r="N65" s="1010"/>
      <c r="O65" s="1010">
        <f>+'Exh F'!P63+'Exhibit G'!P48</f>
        <v>0.9</v>
      </c>
      <c r="P65" s="1010"/>
      <c r="Q65" s="1010"/>
      <c r="R65" s="1010"/>
      <c r="S65" s="1010"/>
      <c r="T65" s="1010"/>
      <c r="U65" s="1010"/>
      <c r="V65" s="1010"/>
      <c r="X65" s="1010"/>
      <c r="Y65" s="1010"/>
      <c r="Z65" s="1010"/>
      <c r="AA65" s="1011"/>
      <c r="AB65" s="1010">
        <f t="shared" si="9"/>
        <v>215.3</v>
      </c>
      <c r="AC65" s="1010"/>
      <c r="AD65" s="1012"/>
      <c r="AE65" s="1010">
        <f>+'Exh F'!AF63+'Exhibit G'!AF48</f>
        <v>259.2</v>
      </c>
      <c r="AF65" s="1010"/>
      <c r="AG65" s="1010"/>
      <c r="AH65" s="1010">
        <f t="shared" si="10"/>
        <v>-43.9</v>
      </c>
      <c r="AI65" s="435"/>
      <c r="AJ65" s="2040">
        <f>ROUND(IF(AE65=0,0,AH65/(AE65)),3)</f>
        <v>-0.16900000000000001</v>
      </c>
    </row>
    <row r="66" spans="1:36" ht="16.5" customHeight="1">
      <c r="A66" s="1979" t="s">
        <v>1434</v>
      </c>
      <c r="B66" s="1979"/>
      <c r="C66" s="1010">
        <f>+'Exh F'!D64+'Exhibit G'!D49</f>
        <v>16.5</v>
      </c>
      <c r="D66" s="1010"/>
      <c r="E66" s="1010">
        <f>+'Exh F'!F64+'Exhibit G'!F49</f>
        <v>17.200000000000003</v>
      </c>
      <c r="F66" s="1010"/>
      <c r="G66" s="1010">
        <f>+'Exh F'!H64+'Exhibit G'!H49</f>
        <v>17.600000000000001</v>
      </c>
      <c r="H66" s="1010"/>
      <c r="I66" s="1010">
        <f>+'Exh F'!J64+'Exhibit G'!J49</f>
        <v>17.5</v>
      </c>
      <c r="J66" s="1010"/>
      <c r="K66" s="1010">
        <f>+'Exh F'!L64+'Exhibit G'!L49</f>
        <v>18.199999999999996</v>
      </c>
      <c r="L66" s="1010"/>
      <c r="M66" s="1010">
        <f>+'Exh F'!N64+'Exhibit G'!N49</f>
        <v>16.8</v>
      </c>
      <c r="N66" s="1010"/>
      <c r="O66" s="1010">
        <f>+'Exh F'!P64+'Exhibit G'!P49</f>
        <v>17.600000000000001</v>
      </c>
      <c r="P66" s="1010"/>
      <c r="Q66" s="1010"/>
      <c r="R66" s="1010"/>
      <c r="S66" s="1010"/>
      <c r="T66" s="1010"/>
      <c r="U66" s="1010"/>
      <c r="V66" s="1010"/>
      <c r="X66" s="1010"/>
      <c r="Y66" s="1010"/>
      <c r="Z66" s="1010"/>
      <c r="AA66" s="1011"/>
      <c r="AB66" s="1010">
        <f t="shared" si="9"/>
        <v>121.4</v>
      </c>
      <c r="AC66" s="1010"/>
      <c r="AD66" s="1012"/>
      <c r="AE66" s="1010">
        <f>+'Exh F'!AF64+'Exhibit G'!AF49</f>
        <v>121.8</v>
      </c>
      <c r="AF66" s="1010"/>
      <c r="AG66" s="1010"/>
      <c r="AH66" s="1010">
        <f t="shared" si="10"/>
        <v>-0.4</v>
      </c>
      <c r="AI66" s="435"/>
      <c r="AJ66" s="2040">
        <f>ROUND(IF(AE66=0,0,AH66/(AE66)),3)</f>
        <v>-3.0000000000000001E-3</v>
      </c>
    </row>
    <row r="67" spans="1:36" ht="16.5" customHeight="1">
      <c r="A67" s="1979" t="s">
        <v>1567</v>
      </c>
      <c r="B67" s="1979"/>
      <c r="C67" s="1010"/>
      <c r="D67" s="1010"/>
      <c r="E67" s="1010"/>
      <c r="F67" s="1010"/>
      <c r="G67" s="1010"/>
      <c r="H67" s="1010"/>
      <c r="I67" s="1010"/>
      <c r="J67" s="1010"/>
      <c r="K67" s="1010"/>
      <c r="L67" s="1010"/>
      <c r="M67" s="1010"/>
      <c r="N67" s="1010"/>
      <c r="O67" s="1010"/>
      <c r="P67" s="1010"/>
      <c r="Q67" s="1010"/>
      <c r="R67" s="1010"/>
      <c r="S67" s="1010"/>
      <c r="T67" s="1010"/>
      <c r="U67" s="1010"/>
      <c r="V67" s="1010"/>
      <c r="X67" s="1010"/>
      <c r="Y67" s="1010"/>
      <c r="Z67" s="1010"/>
      <c r="AA67" s="1011"/>
      <c r="AB67" s="1010"/>
      <c r="AC67" s="1010"/>
      <c r="AD67" s="1012"/>
      <c r="AE67" s="1010"/>
      <c r="AF67" s="1010"/>
      <c r="AG67" s="1010"/>
      <c r="AH67" s="1010"/>
      <c r="AI67" s="435"/>
      <c r="AJ67" s="2040"/>
    </row>
    <row r="68" spans="1:36" ht="16.5" customHeight="1">
      <c r="A68" s="1979" t="s">
        <v>1435</v>
      </c>
      <c r="B68" s="1979"/>
      <c r="C68" s="1010">
        <f>+'Exh F'!D66+'Exhibit H'!B29</f>
        <v>6.5</v>
      </c>
      <c r="D68" s="1010"/>
      <c r="E68" s="1010">
        <f>+'Exh F'!F66+'Exhibit H'!D29</f>
        <v>4.9000000000000004</v>
      </c>
      <c r="F68" s="1010"/>
      <c r="G68" s="1010">
        <f>+'Exh F'!H66+'Exhibit H'!F29</f>
        <v>4.7</v>
      </c>
      <c r="H68" s="1010"/>
      <c r="I68" s="1010">
        <f>+'Exh F'!J66+'Exhibit H'!H29</f>
        <v>5.5</v>
      </c>
      <c r="J68" s="1010"/>
      <c r="K68" s="1010">
        <f>+'Exh F'!L66+'Exhibit H'!J29</f>
        <v>4.0999999999999996</v>
      </c>
      <c r="L68" s="1010"/>
      <c r="M68" s="1010">
        <f>+'Exh F'!N66+'Exhibit H'!L29</f>
        <v>4.9000000000000004</v>
      </c>
      <c r="N68" s="1010"/>
      <c r="O68" s="1010">
        <f>+'Exh F'!P66+'Exhibit H'!N29</f>
        <v>5.8</v>
      </c>
      <c r="P68" s="1010"/>
      <c r="Q68" s="1010"/>
      <c r="R68" s="1010"/>
      <c r="S68" s="1010"/>
      <c r="T68" s="1010"/>
      <c r="U68" s="1010"/>
      <c r="V68" s="1010"/>
      <c r="X68" s="1010"/>
      <c r="Y68" s="1010"/>
      <c r="Z68" s="1010"/>
      <c r="AA68" s="1011"/>
      <c r="AB68" s="1010">
        <f t="shared" si="9"/>
        <v>36.4</v>
      </c>
      <c r="AC68" s="1010"/>
      <c r="AD68" s="1012"/>
      <c r="AE68" s="1010">
        <f>+'Exh F'!AF66+'Exhibit H'!AD29</f>
        <v>40.6</v>
      </c>
      <c r="AF68" s="1010"/>
      <c r="AG68" s="1010"/>
      <c r="AH68" s="1010">
        <f t="shared" si="10"/>
        <v>-4.2</v>
      </c>
      <c r="AI68" s="435"/>
      <c r="AJ68" s="2040">
        <f t="shared" ref="AJ68:AJ74" si="11">ROUND(IF(AE68=0,0,AH68/(AE68)),3)</f>
        <v>-0.10299999999999999</v>
      </c>
    </row>
    <row r="69" spans="1:36" ht="16.5" customHeight="1">
      <c r="A69" s="1979" t="s">
        <v>1563</v>
      </c>
      <c r="B69" s="1979"/>
      <c r="C69" s="1010">
        <f>+'Exh F'!D67+'Exhibit G'!D51+' Exhbit I '!E41+'Exhibit H'!B30</f>
        <v>65.100000000000009</v>
      </c>
      <c r="D69" s="1010"/>
      <c r="E69" s="1010">
        <f>+'Exh F'!F67+'Exhibit G'!F51+' Exhbit I '!G41+'Exhibit H'!D30</f>
        <v>70</v>
      </c>
      <c r="F69" s="1010"/>
      <c r="G69" s="1010">
        <f>+'Exh F'!H67+'Exhibit G'!H51+' Exhbit I '!I41+'Exhibit H'!F30</f>
        <v>124</v>
      </c>
      <c r="H69" s="1010"/>
      <c r="I69" s="1010">
        <f>+'Exh F'!J67+'Exhibit G'!J51+' Exhbit I '!K41+'Exhibit H'!H30</f>
        <v>68.299999999999969</v>
      </c>
      <c r="J69" s="1010"/>
      <c r="K69" s="1010">
        <f>+'Exh F'!L67+'Exhibit G'!L51+' Exhbit I '!M41+'Exhibit H'!J30</f>
        <v>99.3</v>
      </c>
      <c r="L69" s="1010"/>
      <c r="M69" s="1010">
        <f>+'Exh F'!N67+'Exhibit G'!N51+' Exhbit I '!O41+'Exhibit H'!L30</f>
        <v>221.60000000000002</v>
      </c>
      <c r="N69" s="1010"/>
      <c r="O69" s="1010">
        <f>+'Exh F'!P67+'Exhibit G'!P51+' Exhbit I '!Q41+'Exhibit H'!N30</f>
        <v>111.8</v>
      </c>
      <c r="P69" s="1010"/>
      <c r="Q69" s="1010"/>
      <c r="R69" s="1010"/>
      <c r="S69" s="1010"/>
      <c r="T69" s="1010"/>
      <c r="U69" s="1010"/>
      <c r="V69" s="1010"/>
      <c r="X69" s="1010"/>
      <c r="Y69" s="1010"/>
      <c r="Z69" s="1010"/>
      <c r="AA69" s="1011"/>
      <c r="AB69" s="1010">
        <f t="shared" si="9"/>
        <v>760.1</v>
      </c>
      <c r="AC69" s="1010"/>
      <c r="AD69" s="1012"/>
      <c r="AE69" s="1010">
        <f>+'Exh F'!AF67+'Exhibit G'!AF51+' Exhbit I '!AG41+'Exhibit H'!AD30</f>
        <v>782.59999999999991</v>
      </c>
      <c r="AF69" s="1010"/>
      <c r="AG69" s="1010"/>
      <c r="AH69" s="1010">
        <f t="shared" si="10"/>
        <v>-22.5</v>
      </c>
      <c r="AI69" s="435"/>
      <c r="AJ69" s="2040">
        <f t="shared" si="11"/>
        <v>-2.9000000000000001E-2</v>
      </c>
    </row>
    <row r="70" spans="1:36" ht="16.5" customHeight="1">
      <c r="A70" s="1979" t="s">
        <v>1437</v>
      </c>
      <c r="B70" s="1979"/>
      <c r="C70" s="1010">
        <f>+'Exh F'!D68+'Exhibit G'!D52+'Exhibit H'!B31</f>
        <v>22.9</v>
      </c>
      <c r="D70" s="1010"/>
      <c r="E70" s="1010">
        <f>+'Exh F'!F68+'Exhibit G'!F52+'Exhibit H'!D31</f>
        <v>17.600000000000001</v>
      </c>
      <c r="F70" s="1010"/>
      <c r="G70" s="1010">
        <f>+'Exh F'!H68+'Exhibit G'!H52+'Exhibit H'!F31</f>
        <v>24.799999999999997</v>
      </c>
      <c r="H70" s="1010"/>
      <c r="I70" s="1010">
        <f>+'Exh F'!J68+'Exhibit G'!J52+'Exhibit H'!H31</f>
        <v>19.8</v>
      </c>
      <c r="J70" s="1010"/>
      <c r="K70" s="1010">
        <f>+'Exh F'!L68+'Exhibit G'!L52+'Exhibit H'!J31</f>
        <v>4.5</v>
      </c>
      <c r="L70" s="1010"/>
      <c r="M70" s="1010">
        <f>+'Exh F'!N68+'Exhibit G'!N52+'Exhibit H'!L31</f>
        <v>18.900000000000002</v>
      </c>
      <c r="N70" s="1010"/>
      <c r="O70" s="1010">
        <f>+'Exh F'!P68+'Exhibit G'!P52+'Exhibit H'!N31</f>
        <v>31.900000000000002</v>
      </c>
      <c r="P70" s="1010"/>
      <c r="Q70" s="1010"/>
      <c r="R70" s="1010"/>
      <c r="S70" s="1010"/>
      <c r="T70" s="1010"/>
      <c r="U70" s="1010"/>
      <c r="V70" s="1010"/>
      <c r="X70" s="1010"/>
      <c r="Y70" s="1010"/>
      <c r="Z70" s="1010"/>
      <c r="AA70" s="1011"/>
      <c r="AB70" s="1010">
        <f t="shared" si="9"/>
        <v>140.4</v>
      </c>
      <c r="AC70" s="1010"/>
      <c r="AD70" s="1012"/>
      <c r="AE70" s="1010">
        <f>+'Exh F'!AF68+'Exhibit G'!AF52+'Exhibit H'!AD31</f>
        <v>157.4</v>
      </c>
      <c r="AF70" s="1010"/>
      <c r="AG70" s="1010"/>
      <c r="AH70" s="1010">
        <f t="shared" si="10"/>
        <v>-17</v>
      </c>
      <c r="AI70" s="435"/>
      <c r="AJ70" s="2040">
        <f t="shared" si="11"/>
        <v>-0.108</v>
      </c>
    </row>
    <row r="71" spans="1:36" ht="16.5" customHeight="1">
      <c r="A71" s="1979" t="s">
        <v>1438</v>
      </c>
      <c r="B71" s="1979"/>
      <c r="C71" s="1010">
        <f>+'Exh F'!D69+'Exhibit G'!D53+'Exhibit H'!B32</f>
        <v>0.1</v>
      </c>
      <c r="D71" s="1010"/>
      <c r="E71" s="1010">
        <f>+'Exh F'!F69+'Exhibit G'!F53+'Exhibit H'!D32</f>
        <v>1.3</v>
      </c>
      <c r="F71" s="1010"/>
      <c r="G71" s="1010">
        <f>+'Exh F'!H69+'Exhibit G'!H53+'Exhibit H'!F32</f>
        <v>0.79999999999999993</v>
      </c>
      <c r="H71" s="1010"/>
      <c r="I71" s="1010">
        <f>+'Exh F'!J69+'Exhibit G'!J53+'Exhibit H'!H32</f>
        <v>0.4</v>
      </c>
      <c r="J71" s="1010"/>
      <c r="K71" s="1010">
        <f>+'Exh F'!L69+'Exhibit G'!L53+'Exhibit H'!J32</f>
        <v>0.1</v>
      </c>
      <c r="L71" s="1010"/>
      <c r="M71" s="1010">
        <f>+'Exh F'!N69+'Exhibit G'!N53+'Exhibit H'!L32</f>
        <v>2.1</v>
      </c>
      <c r="N71" s="1010"/>
      <c r="O71" s="1010">
        <f>+'Exh F'!P69+'Exhibit G'!P53+'Exhibit H'!N32</f>
        <v>0.4</v>
      </c>
      <c r="P71" s="1010"/>
      <c r="Q71" s="1010"/>
      <c r="R71" s="1010"/>
      <c r="S71" s="1010"/>
      <c r="T71" s="1010"/>
      <c r="U71" s="1010"/>
      <c r="V71" s="1010"/>
      <c r="X71" s="1010"/>
      <c r="Y71" s="1010"/>
      <c r="Z71" s="1010"/>
      <c r="AA71" s="1011"/>
      <c r="AB71" s="1010">
        <f t="shared" si="9"/>
        <v>5.2</v>
      </c>
      <c r="AC71" s="1010"/>
      <c r="AD71" s="1012"/>
      <c r="AE71" s="1010">
        <f>+'Exh F'!AF69+'Exhibit G'!AF53+'Exhibit H'!AD32</f>
        <v>5.6000000000000005</v>
      </c>
      <c r="AF71" s="1010"/>
      <c r="AG71" s="1010"/>
      <c r="AH71" s="1010">
        <f t="shared" si="10"/>
        <v>-0.4</v>
      </c>
      <c r="AI71" s="435"/>
      <c r="AJ71" s="2040">
        <f t="shared" si="11"/>
        <v>-7.0999999999999994E-2</v>
      </c>
    </row>
    <row r="72" spans="1:36" ht="16.5" customHeight="1">
      <c r="A72" s="1979" t="s">
        <v>1439</v>
      </c>
      <c r="B72" s="1979"/>
      <c r="C72" s="1010">
        <f>+'Exh F'!D70+'Exhibit G'!D54+' Exhbit I '!E42+'Exhibit H'!B33</f>
        <v>128.5</v>
      </c>
      <c r="D72" s="1010"/>
      <c r="E72" s="1010">
        <f>+'Exh F'!F70+'Exhibit G'!F54+' Exhbit I '!G42+'Exhibit H'!D33</f>
        <v>127.1</v>
      </c>
      <c r="F72" s="1010"/>
      <c r="G72" s="1010">
        <f>+'Exh F'!H70+'Exhibit G'!H54+' Exhbit I '!I42+'Exhibit H'!F33</f>
        <v>108.80000000000001</v>
      </c>
      <c r="H72" s="1010"/>
      <c r="I72" s="1010">
        <f>+'Exh F'!J70+'Exhibit G'!J54+' Exhbit I '!K42+'Exhibit H'!H33</f>
        <v>114.80000000000001</v>
      </c>
      <c r="J72" s="1010"/>
      <c r="K72" s="1010">
        <f>+'Exh F'!L70+'Exhibit G'!L54+' Exhbit I '!M42+'Exhibit H'!J33</f>
        <v>100.79999999999998</v>
      </c>
      <c r="L72" s="1010"/>
      <c r="M72" s="1010">
        <f>+'Exh F'!N70+'Exhibit G'!N54+' Exhbit I '!O42+'Exhibit H'!L33</f>
        <v>105.8</v>
      </c>
      <c r="N72" s="1010"/>
      <c r="O72" s="1010">
        <f>+'Exh F'!P70+'Exhibit G'!P54+' Exhbit I '!Q42+'Exhibit H'!N33</f>
        <v>100</v>
      </c>
      <c r="P72" s="1010"/>
      <c r="Q72" s="1010"/>
      <c r="R72" s="1010"/>
      <c r="S72" s="1010"/>
      <c r="T72" s="1010"/>
      <c r="U72" s="1010"/>
      <c r="V72" s="1010"/>
      <c r="X72" s="1010"/>
      <c r="Y72" s="1010"/>
      <c r="Z72" s="1010"/>
      <c r="AA72" s="1011"/>
      <c r="AB72" s="1010">
        <f t="shared" si="9"/>
        <v>785.8</v>
      </c>
      <c r="AC72" s="1010"/>
      <c r="AD72" s="1012"/>
      <c r="AE72" s="1010">
        <f>+'Exh F'!AF70+'Exhibit G'!AF54+' Exhbit I '!AG42+'Exhibit H'!AD33</f>
        <v>743.7</v>
      </c>
      <c r="AF72" s="1010"/>
      <c r="AG72" s="1010"/>
      <c r="AH72" s="1010">
        <f t="shared" si="10"/>
        <v>42.1</v>
      </c>
      <c r="AI72" s="435"/>
      <c r="AJ72" s="2040">
        <f t="shared" si="11"/>
        <v>5.7000000000000002E-2</v>
      </c>
    </row>
    <row r="73" spans="1:36" ht="16.5" customHeight="1">
      <c r="A73" s="1979" t="s">
        <v>1440</v>
      </c>
      <c r="B73" s="1979"/>
      <c r="C73" s="1010">
        <f>+'Exh F'!D71+'Exhibit G'!D55+' Exhbit I '!E43+'Exhibit H'!B34</f>
        <v>13.8</v>
      </c>
      <c r="D73" s="1010"/>
      <c r="E73" s="1010">
        <f>+'Exh F'!F71+'Exhibit G'!F55+' Exhbit I '!G43+'Exhibit H'!D34</f>
        <v>21.9</v>
      </c>
      <c r="F73" s="1010"/>
      <c r="G73" s="1010">
        <f>+'Exh F'!H71+'Exhibit G'!H55+' Exhbit I '!I43+'Exhibit H'!F34</f>
        <v>23.000000000000004</v>
      </c>
      <c r="H73" s="1010"/>
      <c r="I73" s="1010">
        <f>+'Exh F'!J71+'Exhibit G'!J55+' Exhbit I '!K43+'Exhibit H'!H34</f>
        <v>31.3</v>
      </c>
      <c r="J73" s="1010"/>
      <c r="K73" s="1010">
        <f>+'Exh F'!L71+'Exhibit G'!L55+' Exhbit I '!M43+'Exhibit H'!J34</f>
        <v>26.6</v>
      </c>
      <c r="L73" s="1010"/>
      <c r="M73" s="1010">
        <f>+'Exh F'!N71+'Exhibit G'!N55+' Exhbit I '!O43+'Exhibit H'!L34</f>
        <v>29.4</v>
      </c>
      <c r="N73" s="1010"/>
      <c r="O73" s="1010">
        <f>+'Exh F'!P71+'Exhibit G'!P55+' Exhbit I '!Q43+'Exhibit H'!N34</f>
        <v>38.1</v>
      </c>
      <c r="P73" s="1010"/>
      <c r="Q73" s="1010"/>
      <c r="R73" s="1010"/>
      <c r="S73" s="1010"/>
      <c r="T73" s="1010"/>
      <c r="U73" s="1010"/>
      <c r="V73" s="1010"/>
      <c r="X73" s="1010"/>
      <c r="Y73" s="1010"/>
      <c r="Z73" s="1010"/>
      <c r="AA73" s="1011"/>
      <c r="AB73" s="1010">
        <f t="shared" si="9"/>
        <v>184.1</v>
      </c>
      <c r="AC73" s="1010"/>
      <c r="AD73" s="1012"/>
      <c r="AE73" s="1010">
        <f>+'Exh F'!AF71+'Exhibit G'!AF55+' Exhbit I '!AG43+'Exhibit H'!AD34</f>
        <v>135.70000000000002</v>
      </c>
      <c r="AF73" s="1010"/>
      <c r="AG73" s="1010"/>
      <c r="AH73" s="1010">
        <f t="shared" si="10"/>
        <v>48.4</v>
      </c>
      <c r="AI73" s="435"/>
      <c r="AJ73" s="2040">
        <f t="shared" si="11"/>
        <v>0.35699999999999998</v>
      </c>
    </row>
    <row r="74" spans="1:36" ht="16.5" customHeight="1">
      <c r="A74" s="1979" t="s">
        <v>1429</v>
      </c>
      <c r="B74" s="1979"/>
      <c r="C74" s="1010">
        <f>+'Exh F'!D72+'Exhibit G'!D56+' Exhbit I '!E44</f>
        <v>18.600000000000001</v>
      </c>
      <c r="D74" s="1010"/>
      <c r="E74" s="1010">
        <f>+'Exh F'!F72+'Exhibit G'!F56+' Exhbit I '!G44</f>
        <v>764.2</v>
      </c>
      <c r="F74" s="1010"/>
      <c r="G74" s="1010">
        <f>+'Exh F'!H72+'Exhibit G'!H56+' Exhbit I '!I44</f>
        <v>35.9</v>
      </c>
      <c r="H74" s="1010"/>
      <c r="I74" s="1010">
        <f>+'Exh F'!J72+'Exhibit G'!J56+' Exhbit I '!K44</f>
        <v>2270.3999999999996</v>
      </c>
      <c r="J74" s="1010"/>
      <c r="K74" s="1010">
        <f>+'Exh F'!L72+'Exhibit G'!L56+' Exhbit I '!M44</f>
        <v>127.6</v>
      </c>
      <c r="L74" s="1010"/>
      <c r="M74" s="1010">
        <f>+'Exh F'!N72+'Exhibit G'!N56+' Exhbit I '!O44</f>
        <v>372.8</v>
      </c>
      <c r="N74" s="1010"/>
      <c r="O74" s="1010">
        <f>+'Exh F'!P72+'Exhibit G'!P56+' Exhbit I '!Q44</f>
        <v>29.6</v>
      </c>
      <c r="P74" s="1010"/>
      <c r="Q74" s="1010"/>
      <c r="R74" s="1010"/>
      <c r="S74" s="1010"/>
      <c r="T74" s="1010"/>
      <c r="U74" s="1010"/>
      <c r="V74" s="1010"/>
      <c r="X74" s="1010"/>
      <c r="Y74" s="1010"/>
      <c r="Z74" s="1010"/>
      <c r="AA74" s="1011"/>
      <c r="AB74" s="1010">
        <f t="shared" si="9"/>
        <v>3619.1</v>
      </c>
      <c r="AC74" s="1010"/>
      <c r="AD74" s="1012"/>
      <c r="AE74" s="1010">
        <f>+'Exh F'!AF72+'Exhibit G'!AF56+' Exhbit I '!AG44</f>
        <v>614.69999999999993</v>
      </c>
      <c r="AF74" s="1010"/>
      <c r="AG74" s="1010"/>
      <c r="AH74" s="1010">
        <f t="shared" si="10"/>
        <v>3004.4</v>
      </c>
      <c r="AI74" s="435"/>
      <c r="AJ74" s="2040">
        <f t="shared" si="11"/>
        <v>4.8879999999999999</v>
      </c>
    </row>
    <row r="75" spans="1:36" ht="16.5" customHeight="1">
      <c r="A75" s="1979" t="s">
        <v>1564</v>
      </c>
      <c r="B75" s="1979"/>
      <c r="C75" s="1010"/>
      <c r="D75" s="1010"/>
      <c r="E75" s="1010"/>
      <c r="F75" s="1010"/>
      <c r="G75" s="1010"/>
      <c r="H75" s="1010"/>
      <c r="I75" s="1010"/>
      <c r="J75" s="1010"/>
      <c r="K75" s="1010"/>
      <c r="L75" s="1010"/>
      <c r="M75" s="1010"/>
      <c r="N75" s="1010"/>
      <c r="O75" s="1010"/>
      <c r="P75" s="1010"/>
      <c r="Q75" s="1010"/>
      <c r="R75" s="1010"/>
      <c r="S75" s="1010"/>
      <c r="T75" s="1010"/>
      <c r="U75" s="1010"/>
      <c r="V75" s="1010"/>
      <c r="X75" s="1010"/>
      <c r="Y75" s="1010"/>
      <c r="Z75" s="1010"/>
      <c r="AA75" s="1011"/>
      <c r="AB75" s="1010"/>
      <c r="AC75" s="1010"/>
      <c r="AD75" s="1012"/>
      <c r="AE75" s="1010"/>
      <c r="AF75" s="1010"/>
      <c r="AG75" s="1010"/>
      <c r="AH75" s="1010"/>
      <c r="AI75" s="435"/>
      <c r="AJ75" s="2040"/>
    </row>
    <row r="76" spans="1:36" ht="16.5" customHeight="1">
      <c r="A76" s="1979" t="s">
        <v>1441</v>
      </c>
      <c r="B76" s="1979"/>
      <c r="C76" s="1010">
        <f>+'Exhibit G'!D58</f>
        <v>4</v>
      </c>
      <c r="D76" s="1010"/>
      <c r="E76" s="1010">
        <f>+'Exhibit G'!F58</f>
        <v>1.7</v>
      </c>
      <c r="F76" s="1010"/>
      <c r="G76" s="1010">
        <f>+'Exhibit G'!H58</f>
        <v>0.5</v>
      </c>
      <c r="H76" s="1010"/>
      <c r="I76" s="1010">
        <f>+'Exhibit G'!J58</f>
        <v>48.9</v>
      </c>
      <c r="J76" s="1010"/>
      <c r="K76" s="1010">
        <f>+'Exhibit G'!L58</f>
        <v>0</v>
      </c>
      <c r="L76" s="1010"/>
      <c r="M76" s="1010">
        <f>+'Exhibit G'!N58</f>
        <v>0.8</v>
      </c>
      <c r="N76" s="1010"/>
      <c r="O76" s="1010">
        <f>+'Exhibit G'!P58</f>
        <v>51.2</v>
      </c>
      <c r="P76" s="1010"/>
      <c r="Q76" s="1010"/>
      <c r="R76" s="1010"/>
      <c r="S76" s="1010"/>
      <c r="T76" s="1010"/>
      <c r="U76" s="1010"/>
      <c r="V76" s="1010"/>
      <c r="X76" s="1010"/>
      <c r="Y76" s="1010"/>
      <c r="Z76" s="1010"/>
      <c r="AA76" s="1011"/>
      <c r="AB76" s="1010">
        <f t="shared" si="9"/>
        <v>107.1</v>
      </c>
      <c r="AC76" s="1010"/>
      <c r="AD76" s="1012"/>
      <c r="AE76" s="1010">
        <f>+'Exhibit G'!AF58</f>
        <v>452.1</v>
      </c>
      <c r="AF76" s="1010"/>
      <c r="AG76" s="1010"/>
      <c r="AH76" s="1010">
        <f t="shared" si="10"/>
        <v>-345</v>
      </c>
      <c r="AI76" s="435"/>
      <c r="AJ76" s="2040">
        <f>ROUND(IF(AE76=0,0,AH76/(AE76)),3)</f>
        <v>-0.76300000000000001</v>
      </c>
    </row>
    <row r="77" spans="1:36" ht="16.5" customHeight="1">
      <c r="A77" s="1979" t="s">
        <v>1442</v>
      </c>
      <c r="B77" s="1979"/>
      <c r="C77" s="1010">
        <f>+'Exhibit G'!D59</f>
        <v>220.6</v>
      </c>
      <c r="D77" s="1010"/>
      <c r="E77" s="1010">
        <f>+'Exhibit G'!F59</f>
        <v>181.9</v>
      </c>
      <c r="F77" s="1010"/>
      <c r="G77" s="1010">
        <f>+'Exhibit G'!H59</f>
        <v>172.5</v>
      </c>
      <c r="H77" s="1010"/>
      <c r="I77" s="1010">
        <f>+'Exhibit G'!J59</f>
        <v>217.20000000000005</v>
      </c>
      <c r="J77" s="1010"/>
      <c r="K77" s="1010">
        <f>+'Exhibit G'!L59</f>
        <v>173.4</v>
      </c>
      <c r="L77" s="1010"/>
      <c r="M77" s="1010">
        <f>+'Exhibit G'!N59</f>
        <v>172.4</v>
      </c>
      <c r="N77" s="1010"/>
      <c r="O77" s="1010">
        <f>+'Exhibit G'!P59</f>
        <v>218.6</v>
      </c>
      <c r="P77" s="1010"/>
      <c r="Q77" s="1010"/>
      <c r="R77" s="1010"/>
      <c r="S77" s="1010"/>
      <c r="T77" s="1010"/>
      <c r="U77" s="1010"/>
      <c r="V77" s="1010"/>
      <c r="X77" s="1010"/>
      <c r="Y77" s="1010"/>
      <c r="Z77" s="1010"/>
      <c r="AA77" s="1011"/>
      <c r="AB77" s="1010">
        <f t="shared" si="9"/>
        <v>1356.6</v>
      </c>
      <c r="AC77" s="1010"/>
      <c r="AD77" s="1012"/>
      <c r="AE77" s="1010">
        <f>+'Exhibit G'!AF59</f>
        <v>1415.7</v>
      </c>
      <c r="AF77" s="1010"/>
      <c r="AG77" s="1010"/>
      <c r="AH77" s="1010">
        <f t="shared" si="10"/>
        <v>-59.1</v>
      </c>
      <c r="AI77" s="435"/>
      <c r="AJ77" s="2040">
        <f>ROUND(IF(AE77=0,0,AH77/(AE77)),3)</f>
        <v>-4.2000000000000003E-2</v>
      </c>
    </row>
    <row r="78" spans="1:36" ht="16.5" customHeight="1">
      <c r="A78" s="1979" t="s">
        <v>1443</v>
      </c>
      <c r="B78" s="1979"/>
      <c r="C78" s="1010">
        <f>+'Exhibit G'!D60</f>
        <v>91.5</v>
      </c>
      <c r="D78" s="1010"/>
      <c r="E78" s="1010">
        <f>+'Exhibit G'!F60</f>
        <v>71.7</v>
      </c>
      <c r="F78" s="1010"/>
      <c r="G78" s="1010">
        <f>+'Exhibit G'!H60</f>
        <v>70.100000000000023</v>
      </c>
      <c r="H78" s="1010"/>
      <c r="I78" s="1010">
        <f>+'Exhibit G'!J60</f>
        <v>87.300000000000011</v>
      </c>
      <c r="J78" s="1010"/>
      <c r="K78" s="1010">
        <f>+'Exhibit G'!L60</f>
        <v>71.099999999999994</v>
      </c>
      <c r="L78" s="1010"/>
      <c r="M78" s="1010">
        <f>+'Exhibit G'!N60</f>
        <v>71.3</v>
      </c>
      <c r="N78" s="1010"/>
      <c r="O78" s="1010">
        <f>+'Exhibit G'!P60</f>
        <v>86.7</v>
      </c>
      <c r="P78" s="1010"/>
      <c r="Q78" s="1010"/>
      <c r="R78" s="1010"/>
      <c r="S78" s="1010"/>
      <c r="T78" s="1010"/>
      <c r="U78" s="1010"/>
      <c r="V78" s="1010"/>
      <c r="X78" s="1010"/>
      <c r="Y78" s="1010"/>
      <c r="Z78" s="1010"/>
      <c r="AA78" s="1011"/>
      <c r="AB78" s="1010">
        <f t="shared" si="9"/>
        <v>549.70000000000005</v>
      </c>
      <c r="AC78" s="1010"/>
      <c r="AD78" s="1012"/>
      <c r="AE78" s="1010">
        <f>+'Exhibit G'!AF60</f>
        <v>565.79999999999995</v>
      </c>
      <c r="AF78" s="1010"/>
      <c r="AG78" s="1010"/>
      <c r="AH78" s="1010">
        <f t="shared" si="10"/>
        <v>-16.100000000000001</v>
      </c>
      <c r="AI78" s="435"/>
      <c r="AJ78" s="2040">
        <f>ROUND(IF(AE78=0,0,AH78/(AE78)),3)</f>
        <v>-2.8000000000000001E-2</v>
      </c>
    </row>
    <row r="79" spans="1:36" ht="16.5" customHeight="1">
      <c r="A79" s="1979" t="s">
        <v>1430</v>
      </c>
      <c r="B79" s="1979"/>
      <c r="C79" s="1010">
        <f>+'Exh F'!D73+'Exhibit G'!D61+'Exhibit H'!B35+' Exhbit I '!E45</f>
        <v>2.5</v>
      </c>
      <c r="D79" s="1010"/>
      <c r="E79" s="1010">
        <f>+'Exh F'!F73+'Exhibit G'!F61+'Exhibit H'!D35+' Exhbit I '!G45</f>
        <v>2.4</v>
      </c>
      <c r="F79" s="1010"/>
      <c r="G79" s="1010">
        <f>+'Exh F'!H73+'Exhibit G'!H61+'Exhibit H'!F35+' Exhbit I '!I45</f>
        <v>2.6000000000000005</v>
      </c>
      <c r="H79" s="1010"/>
      <c r="I79" s="1010">
        <f>+'Exh F'!J73+'Exhibit G'!J61+'Exhibit H'!H35+' Exhbit I '!K45</f>
        <v>3.2</v>
      </c>
      <c r="J79" s="1010"/>
      <c r="K79" s="1010">
        <f>+'Exh F'!L73+'Exhibit G'!L61+'Exhibit H'!J35+' Exhbit I '!M45</f>
        <v>2</v>
      </c>
      <c r="L79" s="1010"/>
      <c r="M79" s="1010">
        <f>+'Exh F'!N73+'Exhibit G'!N61+'Exhibit H'!L35+' Exhbit I '!O45</f>
        <v>3.4000000000000004</v>
      </c>
      <c r="N79" s="1010"/>
      <c r="O79" s="1010">
        <f>+'Exh F'!P73+'Exhibit G'!P61+'Exhibit H'!N35+' Exhbit I '!Q45</f>
        <v>2.5</v>
      </c>
      <c r="P79" s="1010"/>
      <c r="Q79" s="1010"/>
      <c r="R79" s="1010"/>
      <c r="S79" s="1010"/>
      <c r="T79" s="1010"/>
      <c r="U79" s="1010"/>
      <c r="V79" s="1010"/>
      <c r="X79" s="1010"/>
      <c r="Y79" s="1010"/>
      <c r="Z79" s="1010"/>
      <c r="AA79" s="1011"/>
      <c r="AB79" s="1010">
        <f t="shared" si="9"/>
        <v>18.600000000000001</v>
      </c>
      <c r="AC79" s="1010"/>
      <c r="AD79" s="1012"/>
      <c r="AE79" s="1010">
        <f>+'Exh F'!AF73+'Exhibit G'!AF61+'Exhibit H'!AD35+' Exhbit I '!AG45</f>
        <v>16.2</v>
      </c>
      <c r="AF79" s="1010"/>
      <c r="AG79" s="1010"/>
      <c r="AH79" s="1010">
        <f t="shared" si="10"/>
        <v>2.4</v>
      </c>
      <c r="AI79" s="435"/>
      <c r="AJ79" s="2040">
        <f>ROUND(IF(AE79=0,0,AH79/(AE79)),3)</f>
        <v>0.14799999999999999</v>
      </c>
    </row>
    <row r="80" spans="1:36" ht="16.5" customHeight="1">
      <c r="A80" s="1979" t="s">
        <v>1565</v>
      </c>
      <c r="B80" s="1979"/>
      <c r="C80" s="1010"/>
      <c r="D80" s="1010"/>
      <c r="E80" s="1010"/>
      <c r="F80" s="1010"/>
      <c r="G80" s="1010"/>
      <c r="H80" s="1010"/>
      <c r="I80" s="1010"/>
      <c r="J80" s="1010"/>
      <c r="K80" s="1010"/>
      <c r="L80" s="1010"/>
      <c r="M80" s="1010"/>
      <c r="N80" s="1010"/>
      <c r="O80" s="1010"/>
      <c r="P80" s="1010"/>
      <c r="Q80" s="1010"/>
      <c r="R80" s="1010"/>
      <c r="S80" s="1010"/>
      <c r="T80" s="1010"/>
      <c r="U80" s="1010"/>
      <c r="V80" s="1010"/>
      <c r="X80" s="1010"/>
      <c r="Y80" s="1010"/>
      <c r="Z80" s="1010"/>
      <c r="AA80" s="1011"/>
      <c r="AB80" s="1010"/>
      <c r="AC80" s="1010"/>
      <c r="AD80" s="1012"/>
      <c r="AE80" s="1010"/>
      <c r="AF80" s="1010"/>
      <c r="AG80" s="1010"/>
      <c r="AH80" s="1010"/>
      <c r="AI80" s="435"/>
      <c r="AJ80" s="2040"/>
    </row>
    <row r="81" spans="1:36" ht="16.5" customHeight="1">
      <c r="A81" s="1979" t="s">
        <v>1444</v>
      </c>
      <c r="B81" s="1979"/>
      <c r="C81" s="1010">
        <f>+'Exhibit G'!D63+' Exhbit I '!E47</f>
        <v>134.6</v>
      </c>
      <c r="D81" s="1010"/>
      <c r="E81" s="1010">
        <f>+'Exhibit G'!F63+' Exhbit I '!G47</f>
        <v>48.200000000000017</v>
      </c>
      <c r="F81" s="1010"/>
      <c r="G81" s="1010">
        <f>+'Exhibit G'!H63+' Exhbit I '!I47</f>
        <v>132.59999999999997</v>
      </c>
      <c r="H81" s="1010"/>
      <c r="I81" s="1010">
        <f>+'Exhibit G'!J63+' Exhbit I '!K47</f>
        <v>547.30000000000007</v>
      </c>
      <c r="J81" s="1010"/>
      <c r="K81" s="1010">
        <f>+'Exhibit G'!L63+' Exhbit I '!M47</f>
        <v>2.8</v>
      </c>
      <c r="L81" s="1010"/>
      <c r="M81" s="1010">
        <f>+'Exhibit G'!N63+' Exhbit I '!O47</f>
        <v>124.9</v>
      </c>
      <c r="N81" s="1010"/>
      <c r="O81" s="1010">
        <f>+'Exhibit G'!P63+' Exhbit I '!Q47</f>
        <v>38.200000000000003</v>
      </c>
      <c r="P81" s="1010"/>
      <c r="Q81" s="1010"/>
      <c r="R81" s="1010"/>
      <c r="S81" s="1010"/>
      <c r="T81" s="1010"/>
      <c r="U81" s="1010"/>
      <c r="V81" s="1010"/>
      <c r="X81" s="1010"/>
      <c r="Y81" s="1010"/>
      <c r="Z81" s="1010"/>
      <c r="AA81" s="1011"/>
      <c r="AB81" s="1010">
        <f t="shared" si="9"/>
        <v>1028.5999999999999</v>
      </c>
      <c r="AC81" s="1010"/>
      <c r="AD81" s="1012"/>
      <c r="AE81" s="1010">
        <f>+'Exhibit G'!AF63+' Exhbit I '!AG47</f>
        <v>1632</v>
      </c>
      <c r="AF81" s="1010"/>
      <c r="AG81" s="1010"/>
      <c r="AH81" s="1010">
        <f t="shared" si="10"/>
        <v>-603.4</v>
      </c>
      <c r="AI81" s="435"/>
      <c r="AJ81" s="2040">
        <f t="shared" ref="AJ81:AJ86" si="12">ROUND(IF(AE81=0,0,AH81/(AE81)),3)</f>
        <v>-0.37</v>
      </c>
    </row>
    <row r="82" spans="1:36" ht="16.5" customHeight="1">
      <c r="A82" s="1979" t="s">
        <v>1445</v>
      </c>
      <c r="B82" s="1979"/>
      <c r="C82" s="1010">
        <f>+'Exh F'!D75+'Exhibit G'!D64</f>
        <v>0</v>
      </c>
      <c r="D82" s="1010"/>
      <c r="E82" s="1010">
        <f>+'Exh F'!F75+'Exhibit G'!F64</f>
        <v>22.599999999999998</v>
      </c>
      <c r="F82" s="1010"/>
      <c r="G82" s="1010">
        <f>+'Exh F'!H75+'Exhibit G'!H64</f>
        <v>4.7</v>
      </c>
      <c r="H82" s="1010"/>
      <c r="I82" s="1010">
        <f>+'Exh F'!J75+'Exhibit G'!J64</f>
        <v>0</v>
      </c>
      <c r="J82" s="1010"/>
      <c r="K82" s="1010">
        <f>+'Exh F'!L75+'Exhibit G'!L64</f>
        <v>0</v>
      </c>
      <c r="L82" s="1010"/>
      <c r="M82" s="1010">
        <f>+'Exh F'!N75+'Exhibit G'!N64</f>
        <v>0</v>
      </c>
      <c r="N82" s="1010"/>
      <c r="O82" s="1010">
        <f>+'Exh F'!P75+'Exhibit G'!P64</f>
        <v>5.9</v>
      </c>
      <c r="P82" s="1010"/>
      <c r="Q82" s="1010"/>
      <c r="R82" s="1010"/>
      <c r="S82" s="1010"/>
      <c r="T82" s="1010"/>
      <c r="U82" s="1010"/>
      <c r="V82" s="1010"/>
      <c r="X82" s="1010"/>
      <c r="Y82" s="1010"/>
      <c r="Z82" s="1010"/>
      <c r="AA82" s="1011"/>
      <c r="AB82" s="1010">
        <f t="shared" si="9"/>
        <v>33.200000000000003</v>
      </c>
      <c r="AC82" s="1010"/>
      <c r="AD82" s="1012"/>
      <c r="AE82" s="1010">
        <f>+'Exh F'!AF75+'Exhibit G'!AF64</f>
        <v>34.299999999999997</v>
      </c>
      <c r="AF82" s="1010"/>
      <c r="AG82" s="1010"/>
      <c r="AH82" s="1010">
        <f t="shared" si="10"/>
        <v>-1.1000000000000001</v>
      </c>
      <c r="AI82" s="435"/>
      <c r="AJ82" s="2040">
        <f t="shared" si="12"/>
        <v>-3.2000000000000001E-2</v>
      </c>
    </row>
    <row r="83" spans="1:36" ht="16.5" customHeight="1">
      <c r="A83" s="1979" t="s">
        <v>1446</v>
      </c>
      <c r="B83" s="1979"/>
      <c r="C83" s="1010">
        <f>+'Exh F'!D76+'Exhibit G'!D65</f>
        <v>13.8</v>
      </c>
      <c r="D83" s="1010"/>
      <c r="E83" s="1010">
        <f>+'Exh F'!F76+'Exhibit G'!F65</f>
        <v>0.79999999999999993</v>
      </c>
      <c r="F83" s="1010"/>
      <c r="G83" s="1010">
        <f>+'Exh F'!H76+'Exhibit G'!H65</f>
        <v>2.4</v>
      </c>
      <c r="H83" s="1010"/>
      <c r="I83" s="1010">
        <f>+'Exh F'!J76+'Exhibit G'!J65</f>
        <v>15.8</v>
      </c>
      <c r="J83" s="1010"/>
      <c r="K83" s="1010">
        <f>+'Exh F'!L76+'Exhibit G'!L65</f>
        <v>2.2999999999999998</v>
      </c>
      <c r="L83" s="1010"/>
      <c r="M83" s="1010">
        <f>+'Exh F'!N76+'Exhibit G'!N65</f>
        <v>3.3</v>
      </c>
      <c r="N83" s="1010"/>
      <c r="O83" s="1010">
        <f>+'Exh F'!P76+'Exhibit G'!P65</f>
        <v>9.9</v>
      </c>
      <c r="P83" s="1010"/>
      <c r="Q83" s="1010"/>
      <c r="R83" s="1010"/>
      <c r="S83" s="1010"/>
      <c r="T83" s="1010"/>
      <c r="U83" s="1010"/>
      <c r="V83" s="1010"/>
      <c r="X83" s="1010"/>
      <c r="Y83" s="1010"/>
      <c r="Z83" s="1010"/>
      <c r="AA83" s="1011"/>
      <c r="AB83" s="1010">
        <f t="shared" si="9"/>
        <v>48.3</v>
      </c>
      <c r="AC83" s="1010"/>
      <c r="AD83" s="1012"/>
      <c r="AE83" s="1010">
        <f>+'Exh F'!AF76+'Exhibit G'!AF65</f>
        <v>61.6</v>
      </c>
      <c r="AF83" s="1010"/>
      <c r="AG83" s="1010"/>
      <c r="AH83" s="1010">
        <f t="shared" si="10"/>
        <v>-13.3</v>
      </c>
      <c r="AI83" s="435"/>
      <c r="AJ83" s="2040">
        <f t="shared" si="12"/>
        <v>-0.216</v>
      </c>
    </row>
    <row r="84" spans="1:36" ht="16.5" customHeight="1">
      <c r="A84" s="1979" t="s">
        <v>1447</v>
      </c>
      <c r="B84" s="1979"/>
      <c r="C84" s="1010">
        <f>+'Exh F'!D77+'Exhibit G'!D66+' Exhbit I '!E48</f>
        <v>0.30000000000000004</v>
      </c>
      <c r="D84" s="1010"/>
      <c r="E84" s="1010">
        <f>+'Exh F'!F77+'Exhibit G'!F66+' Exhbit I '!G48</f>
        <v>6.8</v>
      </c>
      <c r="F84" s="1010"/>
      <c r="G84" s="1010">
        <f>+'Exh F'!H77+'Exhibit G'!H66+' Exhbit I '!I48</f>
        <v>0.6</v>
      </c>
      <c r="H84" s="1010"/>
      <c r="I84" s="1010">
        <f>+'Exh F'!J77+'Exhibit G'!J66+' Exhbit I '!K48</f>
        <v>9.1999999999999993</v>
      </c>
      <c r="J84" s="1010"/>
      <c r="K84" s="1010">
        <f>+'Exh F'!L77+'Exhibit G'!L66+' Exhbit I '!M48</f>
        <v>0.7</v>
      </c>
      <c r="L84" s="1010"/>
      <c r="M84" s="1010">
        <f>+'Exh F'!N77+'Exhibit G'!N66+' Exhbit I '!O48</f>
        <v>-4.8</v>
      </c>
      <c r="N84" s="1010"/>
      <c r="O84" s="1010">
        <f>+'Exh F'!P77+'Exhibit G'!P66+' Exhbit I '!Q48</f>
        <v>3.2</v>
      </c>
      <c r="P84" s="1010"/>
      <c r="Q84" s="1010"/>
      <c r="R84" s="1010"/>
      <c r="S84" s="1010"/>
      <c r="T84" s="1010"/>
      <c r="U84" s="1010"/>
      <c r="V84" s="1010"/>
      <c r="X84" s="1010"/>
      <c r="Y84" s="1010"/>
      <c r="Z84" s="1010"/>
      <c r="AA84" s="1011"/>
      <c r="AB84" s="1010">
        <f t="shared" si="9"/>
        <v>16</v>
      </c>
      <c r="AC84" s="1010"/>
      <c r="AD84" s="1012"/>
      <c r="AE84" s="1010">
        <f>+'Exh F'!AF77+'Exhibit G'!AF66+' Exhbit I '!AG48</f>
        <v>60</v>
      </c>
      <c r="AF84" s="1010"/>
      <c r="AG84" s="1010"/>
      <c r="AH84" s="1010">
        <f t="shared" si="10"/>
        <v>-44</v>
      </c>
      <c r="AI84" s="435"/>
      <c r="AJ84" s="2040">
        <f t="shared" si="12"/>
        <v>-0.73299999999999998</v>
      </c>
    </row>
    <row r="85" spans="1:36" ht="16.5" customHeight="1">
      <c r="A85" s="1979" t="s">
        <v>1448</v>
      </c>
      <c r="B85" s="1979"/>
      <c r="C85" s="1010">
        <f>+'Exh F'!D78+'Exhibit G'!D67+'Exhibit H'!B36+' Exhbit I '!E49</f>
        <v>34.6</v>
      </c>
      <c r="D85" s="1010"/>
      <c r="E85" s="1010">
        <f>+'Exh F'!F78+'Exhibit G'!F67+'Exhibit H'!D36+' Exhbit I '!G49</f>
        <v>6.6</v>
      </c>
      <c r="F85" s="1010"/>
      <c r="G85" s="1010">
        <f>+'Exh F'!H78+'Exhibit G'!H67+'Exhibit H'!F36+' Exhbit I '!I49</f>
        <v>8.7000000000000028</v>
      </c>
      <c r="H85" s="1010"/>
      <c r="I85" s="1010">
        <f>+'Exh F'!J78+'Exhibit G'!J67+'Exhibit H'!H36+' Exhbit I '!K49</f>
        <v>6.1999999999999993</v>
      </c>
      <c r="J85" s="1010"/>
      <c r="K85" s="1010">
        <f>+'Exh F'!L78+'Exhibit G'!L67+'Exhibit H'!J36+' Exhbit I '!M49</f>
        <v>5.2</v>
      </c>
      <c r="L85" s="1010"/>
      <c r="M85" s="1010">
        <f>+'Exh F'!N78+'Exhibit G'!N67+'Exhibit H'!L36+' Exhbit I '!O49</f>
        <v>7.5</v>
      </c>
      <c r="N85" s="1010"/>
      <c r="O85" s="1010">
        <f>+'Exh F'!P78+'Exhibit G'!P67+'Exhibit H'!N36+' Exhbit I '!Q49</f>
        <v>6.4</v>
      </c>
      <c r="P85" s="1010"/>
      <c r="Q85" s="1010"/>
      <c r="R85" s="1010"/>
      <c r="S85" s="1010"/>
      <c r="T85" s="1010"/>
      <c r="U85" s="1010"/>
      <c r="V85" s="1010"/>
      <c r="X85" s="1010"/>
      <c r="Y85" s="1010"/>
      <c r="Z85" s="1010"/>
      <c r="AA85" s="1011"/>
      <c r="AB85" s="1010">
        <f t="shared" si="9"/>
        <v>75.2</v>
      </c>
      <c r="AC85" s="1010"/>
      <c r="AD85" s="1012"/>
      <c r="AE85" s="1010">
        <f>+'Exh F'!AF78+'Exhibit G'!AF67+'Exhibit H'!AD36+' Exhbit I '!AG49</f>
        <v>75.699999999999989</v>
      </c>
      <c r="AF85" s="1010"/>
      <c r="AG85" s="1010"/>
      <c r="AH85" s="1010">
        <f t="shared" si="10"/>
        <v>-0.5</v>
      </c>
      <c r="AI85" s="435"/>
      <c r="AJ85" s="2040">
        <f t="shared" si="12"/>
        <v>-7.0000000000000001E-3</v>
      </c>
    </row>
    <row r="86" spans="1:36" ht="16.5" customHeight="1">
      <c r="A86" s="1979" t="s">
        <v>1449</v>
      </c>
      <c r="B86" s="1979"/>
      <c r="C86" s="1010">
        <f>+'Exh F'!D79+'Exhibit G'!D68+'Exhibit H'!B37+' Exhbit I '!E50</f>
        <v>27.5</v>
      </c>
      <c r="D86" s="1010"/>
      <c r="E86" s="1010">
        <f>+'Exh F'!F79+'Exhibit G'!F68+'Exhibit H'!D37+' Exhbit I '!G50</f>
        <v>34.900000000000006</v>
      </c>
      <c r="F86" s="1010"/>
      <c r="G86" s="1010">
        <f>+'Exh F'!H79+'Exhibit G'!H68+'Exhibit H'!F37+' Exhbit I '!I50</f>
        <v>29.900000000000002</v>
      </c>
      <c r="H86" s="1010"/>
      <c r="I86" s="1010">
        <f>+'Exh F'!J79+'Exhibit G'!J68+'Exhibit H'!H37+' Exhbit I '!K50</f>
        <v>24.2</v>
      </c>
      <c r="J86" s="1010"/>
      <c r="K86" s="1010">
        <f>+'Exh F'!L79+'Exhibit G'!L68+'Exhibit H'!J37+' Exhbit I '!M50</f>
        <v>8.7000000000000011</v>
      </c>
      <c r="L86" s="1010"/>
      <c r="M86" s="1010">
        <f>+'Exh F'!N79+'Exhibit G'!N68+'Exhibit H'!L37+' Exhbit I '!O50</f>
        <v>2.0999999999999996</v>
      </c>
      <c r="N86" s="1010"/>
      <c r="O86" s="1010">
        <f>+'Exh F'!P79+'Exhibit G'!P68+'Exhibit H'!N37+' Exhbit I '!Q50</f>
        <v>-5.6000000000000005</v>
      </c>
      <c r="P86" s="1010"/>
      <c r="Q86" s="1010"/>
      <c r="R86" s="1010"/>
      <c r="S86" s="1010"/>
      <c r="T86" s="1010"/>
      <c r="U86" s="1010"/>
      <c r="V86" s="1010"/>
      <c r="X86" s="1010"/>
      <c r="Y86" s="1010"/>
      <c r="Z86" s="1010"/>
      <c r="AA86" s="1011"/>
      <c r="AB86" s="1010">
        <f t="shared" si="9"/>
        <v>121.7</v>
      </c>
      <c r="AC86" s="1010"/>
      <c r="AD86" s="1012"/>
      <c r="AE86" s="1010">
        <f>+'Exh F'!AF79+'Exhibit G'!AF68+'Exhibit H'!AD37+' Exhbit I '!AG50</f>
        <v>67.399999999999991</v>
      </c>
      <c r="AF86" s="1010"/>
      <c r="AG86" s="1010"/>
      <c r="AH86" s="1010">
        <f t="shared" si="10"/>
        <v>54.3</v>
      </c>
      <c r="AI86" s="435"/>
      <c r="AJ86" s="2040">
        <f t="shared" si="12"/>
        <v>0.80600000000000005</v>
      </c>
    </row>
    <row r="87" spans="1:36" ht="16.5" customHeight="1">
      <c r="A87" s="1979" t="s">
        <v>1566</v>
      </c>
      <c r="B87" s="1979"/>
      <c r="C87" s="1010"/>
      <c r="D87" s="1010"/>
      <c r="E87" s="1010"/>
      <c r="F87" s="1010"/>
      <c r="G87" s="1010"/>
      <c r="H87" s="1010"/>
      <c r="I87" s="1010"/>
      <c r="J87" s="1010"/>
      <c r="K87" s="1010"/>
      <c r="L87" s="1010"/>
      <c r="M87" s="1010"/>
      <c r="N87" s="1010"/>
      <c r="O87" s="1010"/>
      <c r="P87" s="1010"/>
      <c r="Q87" s="1010"/>
      <c r="R87" s="1010"/>
      <c r="S87" s="1010"/>
      <c r="T87" s="1010"/>
      <c r="U87" s="1010"/>
      <c r="V87" s="1010"/>
      <c r="X87" s="1010"/>
      <c r="Y87" s="1010"/>
      <c r="Z87" s="1010"/>
      <c r="AA87" s="1011"/>
      <c r="AB87" s="1010"/>
      <c r="AC87" s="1010"/>
      <c r="AD87" s="1012"/>
      <c r="AE87" s="1010"/>
      <c r="AF87" s="1010"/>
      <c r="AG87" s="1010"/>
      <c r="AH87" s="1010"/>
      <c r="AI87" s="435"/>
      <c r="AJ87" s="2040"/>
    </row>
    <row r="88" spans="1:36" ht="16.5" customHeight="1">
      <c r="A88" s="1979" t="s">
        <v>1450</v>
      </c>
      <c r="B88" s="1979"/>
      <c r="C88" s="1010">
        <f>+'Exh F'!D81+'Exhibit G'!D70+' Exhbit I '!E52</f>
        <v>0.9</v>
      </c>
      <c r="D88" s="1010"/>
      <c r="E88" s="1010">
        <f>+'Exh F'!F81+'Exhibit G'!F70+' Exhbit I '!G52</f>
        <v>8.1999999999999993</v>
      </c>
      <c r="F88" s="1010"/>
      <c r="G88" s="1010">
        <f>+'Exh F'!H81+'Exhibit G'!H70+' Exhbit I '!I52</f>
        <v>32.5</v>
      </c>
      <c r="H88" s="1010"/>
      <c r="I88" s="1010">
        <f>+'Exh F'!J81+'Exhibit G'!J70+' Exhbit I '!K52</f>
        <v>9.4</v>
      </c>
      <c r="J88" s="1010"/>
      <c r="K88" s="1010">
        <f>+'Exh F'!L81+'Exhibit G'!L70+' Exhbit I '!M52</f>
        <v>8.4</v>
      </c>
      <c r="L88" s="1010"/>
      <c r="M88" s="1010">
        <f>+'Exh F'!N81+'Exhibit G'!N70+' Exhbit I '!O52</f>
        <v>34.299999999999997</v>
      </c>
      <c r="N88" s="1010"/>
      <c r="O88" s="1010">
        <f>+'Exh F'!P81+'Exhibit G'!P70+' Exhbit I '!Q52</f>
        <v>8.6999999999999993</v>
      </c>
      <c r="P88" s="1010"/>
      <c r="Q88" s="1010"/>
      <c r="R88" s="1010"/>
      <c r="S88" s="1010"/>
      <c r="T88" s="1010"/>
      <c r="U88" s="1010"/>
      <c r="V88" s="1010"/>
      <c r="X88" s="1010"/>
      <c r="Y88" s="1010"/>
      <c r="Z88" s="1010"/>
      <c r="AA88" s="1011"/>
      <c r="AB88" s="1010">
        <f t="shared" si="9"/>
        <v>102.4</v>
      </c>
      <c r="AC88" s="1010"/>
      <c r="AD88" s="1012"/>
      <c r="AE88" s="1010">
        <f>+'Exh F'!AF81+'Exhibit G'!AF70+' Exhbit I '!AG52</f>
        <v>103.7</v>
      </c>
      <c r="AF88" s="1010"/>
      <c r="AG88" s="1010"/>
      <c r="AH88" s="1010">
        <f t="shared" si="10"/>
        <v>-1.3</v>
      </c>
      <c r="AI88" s="435"/>
      <c r="AJ88" s="2040">
        <f t="shared" ref="AJ88:AJ99" si="13">ROUND(IF(AE88=0,0,AH88/(AE88)),3)</f>
        <v>-1.2999999999999999E-2</v>
      </c>
    </row>
    <row r="89" spans="1:36" ht="16.5" customHeight="1">
      <c r="A89" s="1979" t="s">
        <v>1451</v>
      </c>
      <c r="B89" s="1979"/>
      <c r="C89" s="1010">
        <f>+'Exhibit G'!D71</f>
        <v>0.2</v>
      </c>
      <c r="D89" s="1010"/>
      <c r="E89" s="1010">
        <f>+'Exhibit G'!F71</f>
        <v>4.3</v>
      </c>
      <c r="F89" s="1010"/>
      <c r="G89" s="1010">
        <f>+'Exhibit G'!H71</f>
        <v>0.2</v>
      </c>
      <c r="H89" s="1010"/>
      <c r="I89" s="1010">
        <f>+'Exhibit G'!J71</f>
        <v>0.1</v>
      </c>
      <c r="J89" s="1010"/>
      <c r="K89" s="1010">
        <f>+'Exhibit G'!L71</f>
        <v>0</v>
      </c>
      <c r="L89" s="1010"/>
      <c r="M89" s="1010">
        <f>+'Exhibit G'!N71</f>
        <v>0.5</v>
      </c>
      <c r="N89" s="1010"/>
      <c r="O89" s="1010">
        <f>+'Exhibit G'!P71</f>
        <v>0.3</v>
      </c>
      <c r="P89" s="1010"/>
      <c r="Q89" s="1010"/>
      <c r="R89" s="1010"/>
      <c r="S89" s="1010"/>
      <c r="T89" s="1010"/>
      <c r="U89" s="1010"/>
      <c r="V89" s="1010"/>
      <c r="X89" s="1010"/>
      <c r="Y89" s="1010"/>
      <c r="Z89" s="1010"/>
      <c r="AA89" s="1011"/>
      <c r="AB89" s="1010">
        <f t="shared" si="9"/>
        <v>5.6</v>
      </c>
      <c r="AC89" s="1010"/>
      <c r="AD89" s="1012"/>
      <c r="AE89" s="1010">
        <f>+'Exhibit G'!AF71</f>
        <v>3.8</v>
      </c>
      <c r="AF89" s="1010"/>
      <c r="AG89" s="1010"/>
      <c r="AH89" s="1010">
        <f t="shared" si="10"/>
        <v>1.8</v>
      </c>
      <c r="AI89" s="435"/>
      <c r="AJ89" s="2040">
        <f t="shared" si="13"/>
        <v>0.47399999999999998</v>
      </c>
    </row>
    <row r="90" spans="1:36" ht="16.5" customHeight="1">
      <c r="A90" s="1979" t="s">
        <v>1452</v>
      </c>
      <c r="B90" s="1979"/>
      <c r="C90" s="1010">
        <f>+'Exh F'!D82+'Exhibit G'!D72+' Exhbit I '!E53</f>
        <v>0.79999999999999993</v>
      </c>
      <c r="D90" s="1010"/>
      <c r="E90" s="1010">
        <f>+'Exh F'!F82+'Exhibit G'!F72+' Exhbit I '!G53</f>
        <v>0.5</v>
      </c>
      <c r="F90" s="1010"/>
      <c r="G90" s="1010">
        <f>+'Exh F'!H82+'Exhibit G'!H72+' Exhbit I '!I53</f>
        <v>0.1</v>
      </c>
      <c r="H90" s="1010"/>
      <c r="I90" s="1010">
        <f>+'Exh F'!J82+'Exhibit G'!J72+' Exhbit I '!K53</f>
        <v>0.2</v>
      </c>
      <c r="J90" s="1010"/>
      <c r="K90" s="1010">
        <f>+'Exh F'!L82+'Exhibit G'!L72+' Exhbit I '!M53</f>
        <v>0.5</v>
      </c>
      <c r="L90" s="1010"/>
      <c r="M90" s="1010">
        <f>+'Exh F'!N82+'Exhibit G'!N72+' Exhbit I '!O53</f>
        <v>14</v>
      </c>
      <c r="N90" s="1010"/>
      <c r="O90" s="1010">
        <f>+'Exh F'!P82+'Exhibit G'!P72+' Exhbit I '!Q53</f>
        <v>0.7</v>
      </c>
      <c r="P90" s="1010"/>
      <c r="Q90" s="1010"/>
      <c r="R90" s="1010"/>
      <c r="S90" s="1010"/>
      <c r="T90" s="1010"/>
      <c r="U90" s="1010"/>
      <c r="V90" s="1010"/>
      <c r="X90" s="1010"/>
      <c r="Y90" s="1010"/>
      <c r="Z90" s="1010"/>
      <c r="AA90" s="1011"/>
      <c r="AB90" s="1010">
        <f t="shared" si="9"/>
        <v>16.8</v>
      </c>
      <c r="AC90" s="1010"/>
      <c r="AD90" s="1012"/>
      <c r="AE90" s="1010">
        <f>+'Exh F'!AF82+'Exhibit G'!AF72+' Exhbit I '!AG53</f>
        <v>4.2</v>
      </c>
      <c r="AF90" s="1010"/>
      <c r="AG90" s="1010"/>
      <c r="AH90" s="1010">
        <f t="shared" si="10"/>
        <v>12.6</v>
      </c>
      <c r="AI90" s="435"/>
      <c r="AJ90" s="2040">
        <f t="shared" si="13"/>
        <v>3</v>
      </c>
    </row>
    <row r="91" spans="1:36" ht="16.5" customHeight="1">
      <c r="A91" s="1979" t="s">
        <v>1453</v>
      </c>
      <c r="B91" s="1979"/>
      <c r="C91" s="1010">
        <f>+'Exh F'!D83+'Exhibit G'!D73</f>
        <v>2</v>
      </c>
      <c r="D91" s="1010"/>
      <c r="E91" s="1010">
        <f>+'Exh F'!F83+'Exhibit G'!F73</f>
        <v>9.1999999999999993</v>
      </c>
      <c r="F91" s="1010"/>
      <c r="G91" s="1010">
        <f>+'Exh F'!H83+'Exhibit G'!H73</f>
        <v>17.100000000000001</v>
      </c>
      <c r="H91" s="1010"/>
      <c r="I91" s="1010">
        <f>+'Exh F'!J83+'Exhibit G'!J73</f>
        <v>3</v>
      </c>
      <c r="J91" s="1010"/>
      <c r="K91" s="1010">
        <f>+'Exh F'!L83+'Exhibit G'!L73</f>
        <v>19.7</v>
      </c>
      <c r="L91" s="1010"/>
      <c r="M91" s="1010">
        <f>+'Exh F'!N83+'Exhibit G'!N73</f>
        <v>6.2</v>
      </c>
      <c r="N91" s="1010"/>
      <c r="O91" s="1010">
        <f>+'Exh F'!P83+'Exhibit G'!P73</f>
        <v>5.3</v>
      </c>
      <c r="P91" s="1010"/>
      <c r="Q91" s="1010"/>
      <c r="R91" s="1010"/>
      <c r="S91" s="1010"/>
      <c r="T91" s="1010"/>
      <c r="U91" s="1010"/>
      <c r="V91" s="1010"/>
      <c r="X91" s="1010"/>
      <c r="Y91" s="1010"/>
      <c r="Z91" s="1010"/>
      <c r="AA91" s="1011"/>
      <c r="AB91" s="1010">
        <f t="shared" si="9"/>
        <v>62.5</v>
      </c>
      <c r="AC91" s="1010"/>
      <c r="AD91" s="1012"/>
      <c r="AE91" s="1010">
        <f>+'Exh F'!AF83+'Exhibit G'!AF73</f>
        <v>68.8</v>
      </c>
      <c r="AF91" s="1010"/>
      <c r="AG91" s="1010"/>
      <c r="AH91" s="1010">
        <f t="shared" si="10"/>
        <v>-6.3</v>
      </c>
      <c r="AI91" s="435"/>
      <c r="AJ91" s="2040">
        <f t="shared" si="13"/>
        <v>-9.1999999999999998E-2</v>
      </c>
    </row>
    <row r="92" spans="1:36" ht="16.5" customHeight="1">
      <c r="A92" s="1979" t="s">
        <v>1454</v>
      </c>
      <c r="B92" s="1979"/>
      <c r="C92" s="1010">
        <f>+'Exhibit G'!D74+'Exhibit H'!B39</f>
        <v>203.2</v>
      </c>
      <c r="D92" s="1010"/>
      <c r="E92" s="1010">
        <f>+'Exhibit G'!F74+'Exhibit H'!D39</f>
        <v>249.3</v>
      </c>
      <c r="F92" s="1010"/>
      <c r="G92" s="1010">
        <f>+'Exhibit G'!H74+'Exhibit H'!F39</f>
        <v>173.50000000000003</v>
      </c>
      <c r="H92" s="1010"/>
      <c r="I92" s="1010">
        <f>+'Exhibit G'!J74+'Exhibit H'!H39</f>
        <v>218.49999999999994</v>
      </c>
      <c r="J92" s="1010"/>
      <c r="K92" s="1010">
        <f>+'Exhibit G'!L74+'Exhibit H'!J39</f>
        <v>229.20000000000002</v>
      </c>
      <c r="L92" s="1010"/>
      <c r="M92" s="1010">
        <f>+'Exhibit G'!N74+'Exhibit H'!L39</f>
        <v>104.6</v>
      </c>
      <c r="N92" s="1010"/>
      <c r="O92" s="1010">
        <f>+'Exhibit G'!P74+'Exhibit H'!N39</f>
        <v>288.59999999999997</v>
      </c>
      <c r="P92" s="1010"/>
      <c r="Q92" s="1010"/>
      <c r="R92" s="1010"/>
      <c r="S92" s="1010"/>
      <c r="T92" s="1010"/>
      <c r="U92" s="1010"/>
      <c r="V92" s="1010"/>
      <c r="X92" s="1010"/>
      <c r="Y92" s="1010"/>
      <c r="Z92" s="1010"/>
      <c r="AA92" s="1011"/>
      <c r="AB92" s="1010">
        <f t="shared" si="9"/>
        <v>1466.9</v>
      </c>
      <c r="AC92" s="1010"/>
      <c r="AD92" s="1012"/>
      <c r="AE92" s="1010">
        <f>+'Exhibit G'!AF74+'Exhibit H'!AD39</f>
        <v>1509.3000000000002</v>
      </c>
      <c r="AF92" s="1010"/>
      <c r="AG92" s="1010"/>
      <c r="AH92" s="1010">
        <f t="shared" si="10"/>
        <v>-42.4</v>
      </c>
      <c r="AI92" s="435"/>
      <c r="AJ92" s="2040">
        <f t="shared" si="13"/>
        <v>-2.8000000000000001E-2</v>
      </c>
    </row>
    <row r="93" spans="1:36" ht="16.5" customHeight="1">
      <c r="A93" s="1979" t="s">
        <v>1455</v>
      </c>
      <c r="B93" s="1979"/>
      <c r="C93" s="1010">
        <f>+'Exhibit G'!D75</f>
        <v>9.2999999999999989</v>
      </c>
      <c r="D93" s="1010"/>
      <c r="E93" s="1010">
        <f>+'Exhibit G'!F75</f>
        <v>9.1</v>
      </c>
      <c r="F93" s="1010"/>
      <c r="G93" s="1010">
        <f>+'Exhibit G'!H75</f>
        <v>9.7999999999999989</v>
      </c>
      <c r="H93" s="1010"/>
      <c r="I93" s="1010">
        <f>+'Exhibit G'!J75</f>
        <v>26.299999999999997</v>
      </c>
      <c r="J93" s="1010"/>
      <c r="K93" s="1010">
        <f>+'Exhibit G'!L75</f>
        <v>9.1999999999999993</v>
      </c>
      <c r="L93" s="1010"/>
      <c r="M93" s="1010">
        <f>+'Exhibit G'!N75</f>
        <v>10.5</v>
      </c>
      <c r="N93" s="1010"/>
      <c r="O93" s="1010">
        <f>+'Exhibit G'!P75</f>
        <v>12.2</v>
      </c>
      <c r="P93" s="1010"/>
      <c r="Q93" s="1010"/>
      <c r="R93" s="1010"/>
      <c r="S93" s="1010"/>
      <c r="T93" s="1010"/>
      <c r="U93" s="1010"/>
      <c r="V93" s="1010"/>
      <c r="X93" s="1010"/>
      <c r="Y93" s="1010"/>
      <c r="Z93" s="1010"/>
      <c r="AA93" s="1011"/>
      <c r="AB93" s="1010">
        <f t="shared" si="9"/>
        <v>86.4</v>
      </c>
      <c r="AC93" s="1010"/>
      <c r="AD93" s="1012"/>
      <c r="AE93" s="1010">
        <f>+'Exhibit G'!AF75</f>
        <v>66.3</v>
      </c>
      <c r="AF93" s="1010"/>
      <c r="AG93" s="1010"/>
      <c r="AH93" s="1010">
        <f t="shared" si="10"/>
        <v>20.100000000000001</v>
      </c>
      <c r="AI93" s="435"/>
      <c r="AJ93" s="2040">
        <f t="shared" si="13"/>
        <v>0.30299999999999999</v>
      </c>
    </row>
    <row r="94" spans="1:36" ht="16.5" customHeight="1">
      <c r="A94" s="1979" t="s">
        <v>1456</v>
      </c>
      <c r="B94" s="1979"/>
      <c r="C94" s="1010">
        <f>+'Exh F'!D84+'Exhibit G'!D76+' Exhbit I '!E54</f>
        <v>9.6</v>
      </c>
      <c r="D94" s="1010"/>
      <c r="E94" s="1010">
        <f>+'Exh F'!F84+'Exhibit G'!F76+' Exhbit I '!G54</f>
        <v>14.2</v>
      </c>
      <c r="F94" s="1010"/>
      <c r="G94" s="1010">
        <f>+'Exh F'!H84+'Exhibit G'!H76+' Exhbit I '!I54</f>
        <v>-4</v>
      </c>
      <c r="H94" s="1010"/>
      <c r="I94" s="1010">
        <f>+'Exh F'!J84+'Exhibit G'!J76+' Exhbit I '!K54</f>
        <v>-13</v>
      </c>
      <c r="J94" s="1010"/>
      <c r="K94" s="1010">
        <f>+'Exh F'!L84+'Exhibit G'!L76+' Exhbit I '!M54</f>
        <v>-13.5</v>
      </c>
      <c r="L94" s="1010"/>
      <c r="M94" s="1010">
        <f>+'Exh F'!N84+'Exhibit G'!N76+' Exhbit I '!O54</f>
        <v>-9.6999999999999993</v>
      </c>
      <c r="N94" s="1010"/>
      <c r="O94" s="1010">
        <f>+'Exh F'!P84+'Exhibit G'!P76+' Exhbit I '!Q54</f>
        <v>306</v>
      </c>
      <c r="P94" s="1010"/>
      <c r="Q94" s="1010"/>
      <c r="R94" s="1010"/>
      <c r="S94" s="1010"/>
      <c r="T94" s="1010"/>
      <c r="U94" s="1010"/>
      <c r="V94" s="1010"/>
      <c r="X94" s="1010"/>
      <c r="Y94" s="1010"/>
      <c r="Z94" s="1010"/>
      <c r="AA94" s="1011"/>
      <c r="AB94" s="1010">
        <f t="shared" si="9"/>
        <v>289.60000000000002</v>
      </c>
      <c r="AC94" s="1010"/>
      <c r="AD94" s="1012"/>
      <c r="AE94" s="1010">
        <f>+'Exh F'!AF84+'Exhibit G'!AF76+' Exhbit I '!AG54</f>
        <v>15.2</v>
      </c>
      <c r="AF94" s="1010"/>
      <c r="AG94" s="1010"/>
      <c r="AH94" s="1010">
        <f t="shared" si="10"/>
        <v>274.39999999999998</v>
      </c>
      <c r="AI94" s="435"/>
      <c r="AJ94" s="3193">
        <f t="shared" si="13"/>
        <v>18.053000000000001</v>
      </c>
    </row>
    <row r="95" spans="1:36" ht="16.5" customHeight="1">
      <c r="A95" s="1979" t="s">
        <v>1457</v>
      </c>
      <c r="B95" s="1979"/>
      <c r="C95" s="1010">
        <f>+'Exh F'!D85+'Exhibit G'!D77</f>
        <v>6.2</v>
      </c>
      <c r="D95" s="1010"/>
      <c r="E95" s="1010">
        <f>+'Exh F'!F85+'Exhibit G'!F77</f>
        <v>4.5</v>
      </c>
      <c r="F95" s="1010"/>
      <c r="G95" s="1010">
        <f>+'Exh F'!H85+'Exhibit G'!H77</f>
        <v>13.5</v>
      </c>
      <c r="H95" s="1010"/>
      <c r="I95" s="1010">
        <f>+'Exh F'!J85+'Exhibit G'!J77</f>
        <v>7.1000000000000014</v>
      </c>
      <c r="J95" s="1010"/>
      <c r="K95" s="1010">
        <f>+'Exh F'!L85+'Exhibit G'!L77</f>
        <v>12.2</v>
      </c>
      <c r="L95" s="1010"/>
      <c r="M95" s="1010">
        <f>+'Exh F'!N85+'Exhibit G'!N77</f>
        <v>7.1</v>
      </c>
      <c r="N95" s="1010"/>
      <c r="O95" s="1010">
        <f>+'Exh F'!P85+'Exhibit G'!P77</f>
        <v>2.6</v>
      </c>
      <c r="P95" s="1010"/>
      <c r="Q95" s="1010"/>
      <c r="R95" s="1010"/>
      <c r="S95" s="1010"/>
      <c r="T95" s="1010"/>
      <c r="U95" s="1010"/>
      <c r="V95" s="1010"/>
      <c r="X95" s="1010"/>
      <c r="Y95" s="1010"/>
      <c r="Z95" s="1010"/>
      <c r="AA95" s="1011"/>
      <c r="AB95" s="1010">
        <f t="shared" si="9"/>
        <v>53.2</v>
      </c>
      <c r="AC95" s="1010"/>
      <c r="AD95" s="1012"/>
      <c r="AE95" s="1010">
        <f>+'Exh F'!AF85+'Exhibit G'!AF77</f>
        <v>14.899999999999999</v>
      </c>
      <c r="AF95" s="1010"/>
      <c r="AG95" s="1010"/>
      <c r="AH95" s="1010">
        <f t="shared" si="10"/>
        <v>38.299999999999997</v>
      </c>
      <c r="AI95" s="435"/>
      <c r="AJ95" s="2040">
        <f t="shared" si="13"/>
        <v>2.57</v>
      </c>
    </row>
    <row r="96" spans="1:36" ht="16.5" customHeight="1">
      <c r="A96" s="1979" t="s">
        <v>1458</v>
      </c>
      <c r="B96" s="1979"/>
      <c r="C96" s="1010">
        <f>+'Exh F'!D86+'Exhibit G'!D78+' Exhbit I '!E55</f>
        <v>7.6999999999999993</v>
      </c>
      <c r="D96" s="1010"/>
      <c r="E96" s="1010">
        <f>+'Exh F'!F86+'Exhibit G'!F78+' Exhbit I '!G55</f>
        <v>5.0999999999999996</v>
      </c>
      <c r="F96" s="1010"/>
      <c r="G96" s="1010">
        <f>+'Exh F'!H86+'Exhibit G'!H78+' Exhbit I '!I55</f>
        <v>7.6000000000000005</v>
      </c>
      <c r="H96" s="1010"/>
      <c r="I96" s="1010">
        <f>+'Exh F'!J86+'Exhibit G'!J78+' Exhbit I '!K55</f>
        <v>1.5</v>
      </c>
      <c r="J96" s="1010"/>
      <c r="K96" s="1010">
        <f>+'Exh F'!L86+'Exhibit G'!L78+' Exhbit I '!M55</f>
        <v>5.5</v>
      </c>
      <c r="L96" s="1010"/>
      <c r="M96" s="1010">
        <f>+'Exh F'!N86+'Exhibit G'!N78+' Exhbit I '!O55</f>
        <v>20.799999999999997</v>
      </c>
      <c r="N96" s="1010"/>
      <c r="O96" s="1010">
        <f>+'Exh F'!P86+'Exhibit G'!P78+' Exhbit I '!Q55</f>
        <v>-3.4000000000000008</v>
      </c>
      <c r="P96" s="1010"/>
      <c r="Q96" s="1010"/>
      <c r="R96" s="1010"/>
      <c r="S96" s="1010"/>
      <c r="T96" s="1010"/>
      <c r="U96" s="1010"/>
      <c r="V96" s="1010"/>
      <c r="X96" s="1010"/>
      <c r="Y96" s="1010"/>
      <c r="Z96" s="1010"/>
      <c r="AA96" s="1011"/>
      <c r="AB96" s="1010">
        <f t="shared" si="9"/>
        <v>44.8</v>
      </c>
      <c r="AC96" s="1010"/>
      <c r="AD96" s="1012"/>
      <c r="AE96" s="1010">
        <f>+'Exh F'!AF86+'Exhibit G'!AF78+' Exhbit I '!AG55</f>
        <v>124.8</v>
      </c>
      <c r="AF96" s="1010"/>
      <c r="AG96" s="1010"/>
      <c r="AH96" s="1010">
        <f t="shared" si="10"/>
        <v>-80</v>
      </c>
      <c r="AI96" s="435"/>
      <c r="AJ96" s="2040">
        <f t="shared" si="13"/>
        <v>-0.64100000000000001</v>
      </c>
    </row>
    <row r="97" spans="1:45" ht="16.5" customHeight="1">
      <c r="A97" s="1979" t="s">
        <v>1459</v>
      </c>
      <c r="B97" s="1979"/>
      <c r="C97" s="1010">
        <f>+'Exh F'!D87+'Exhibit G'!D79+' Exhbit I '!E56</f>
        <v>5.0999999999999996</v>
      </c>
      <c r="D97" s="1010"/>
      <c r="E97" s="1010">
        <f>+'Exh F'!F87+'Exhibit G'!F79+' Exhbit I '!G56</f>
        <v>-3</v>
      </c>
      <c r="F97" s="1010"/>
      <c r="G97" s="1010">
        <f>+'Exh F'!H87+'Exhibit G'!H79+' Exhbit I '!I56</f>
        <v>1.5000000000000002</v>
      </c>
      <c r="H97" s="1010"/>
      <c r="I97" s="1010">
        <f>+'Exh F'!J87+'Exhibit G'!J79+' Exhbit I '!K56</f>
        <v>1.8000000000000003</v>
      </c>
      <c r="J97" s="1010"/>
      <c r="K97" s="1010">
        <f>+'Exh F'!L87+'Exhibit G'!L79+' Exhbit I '!M56</f>
        <v>3.1</v>
      </c>
      <c r="L97" s="1010"/>
      <c r="M97" s="1010">
        <f>+'Exh F'!N87+'Exhibit G'!N79+' Exhbit I '!O56</f>
        <v>11.4</v>
      </c>
      <c r="N97" s="1010"/>
      <c r="O97" s="1010">
        <f>+'Exh F'!P87+'Exhibit G'!P79+' Exhbit I '!Q56</f>
        <v>2.6</v>
      </c>
      <c r="P97" s="1010"/>
      <c r="Q97" s="1010"/>
      <c r="R97" s="1010"/>
      <c r="S97" s="1010"/>
      <c r="T97" s="1010"/>
      <c r="U97" s="1010"/>
      <c r="V97" s="1010"/>
      <c r="X97" s="1010"/>
      <c r="Y97" s="1010"/>
      <c r="Z97" s="1010"/>
      <c r="AA97" s="1011"/>
      <c r="AB97" s="1010">
        <f t="shared" si="9"/>
        <v>22.5</v>
      </c>
      <c r="AC97" s="1010"/>
      <c r="AD97" s="1012"/>
      <c r="AE97" s="1010">
        <f>+'Exh F'!AF87+'Exhibit G'!AF79+' Exhbit I '!AG56</f>
        <v>15.999999999999998</v>
      </c>
      <c r="AF97" s="1010"/>
      <c r="AG97" s="1010"/>
      <c r="AH97" s="1010">
        <f t="shared" si="10"/>
        <v>6.5</v>
      </c>
      <c r="AI97" s="435"/>
      <c r="AJ97" s="2040">
        <f t="shared" si="13"/>
        <v>0.40600000000000003</v>
      </c>
    </row>
    <row r="98" spans="1:45" ht="16.5" customHeight="1">
      <c r="A98" s="1979" t="s">
        <v>1460</v>
      </c>
      <c r="B98" s="1979"/>
      <c r="C98" s="1010">
        <f>+'Exhibit G'!D80</f>
        <v>72</v>
      </c>
      <c r="D98" s="1010"/>
      <c r="E98" s="1010">
        <f>+'Exhibit G'!F80</f>
        <v>72.8</v>
      </c>
      <c r="F98" s="1010"/>
      <c r="G98" s="1010">
        <f>+'Exhibit G'!H80</f>
        <v>111.59999999999997</v>
      </c>
      <c r="H98" s="1010"/>
      <c r="I98" s="1010">
        <f>+'Exhibit G'!J80</f>
        <v>105</v>
      </c>
      <c r="J98" s="1010"/>
      <c r="K98" s="1010">
        <f>+'Exhibit G'!L80</f>
        <v>222.5</v>
      </c>
      <c r="L98" s="1010"/>
      <c r="M98" s="1010">
        <f>+'Exhibit G'!N80</f>
        <v>424.7</v>
      </c>
      <c r="N98" s="1010"/>
      <c r="O98" s="1010">
        <f>+'Exhibit G'!P80</f>
        <v>201.9</v>
      </c>
      <c r="P98" s="1010"/>
      <c r="Q98" s="1010"/>
      <c r="R98" s="1010"/>
      <c r="S98" s="1010"/>
      <c r="T98" s="1010"/>
      <c r="U98" s="1010"/>
      <c r="V98" s="1010"/>
      <c r="X98" s="1010"/>
      <c r="Y98" s="1010"/>
      <c r="Z98" s="1010"/>
      <c r="AA98" s="1011"/>
      <c r="AB98" s="1010">
        <f t="shared" si="9"/>
        <v>1210.5</v>
      </c>
      <c r="AC98" s="1010"/>
      <c r="AD98" s="1012"/>
      <c r="AE98" s="1010">
        <f>+'Exhibit G'!AF80</f>
        <v>1133.9000000000001</v>
      </c>
      <c r="AF98" s="1010"/>
      <c r="AG98" s="1010"/>
      <c r="AH98" s="1010">
        <f t="shared" si="10"/>
        <v>76.599999999999994</v>
      </c>
      <c r="AI98" s="435"/>
      <c r="AJ98" s="2040">
        <f t="shared" si="13"/>
        <v>6.8000000000000005E-2</v>
      </c>
    </row>
    <row r="99" spans="1:45" s="810" customFormat="1" ht="16.5" customHeight="1">
      <c r="A99" s="594" t="s">
        <v>1497</v>
      </c>
      <c r="B99" s="417"/>
      <c r="C99" s="489">
        <f>ROUND(SUM(C60:C98),1)</f>
        <v>1585.2</v>
      </c>
      <c r="D99" s="2372"/>
      <c r="E99" s="489">
        <f>ROUND(SUM(E60:E98),1)</f>
        <v>3256.5</v>
      </c>
      <c r="F99" s="2372"/>
      <c r="G99" s="489">
        <f>ROUND(SUM(G60:G98),1)</f>
        <v>1680.6</v>
      </c>
      <c r="H99" s="2154"/>
      <c r="I99" s="489">
        <f>ROUND(SUM(I60:I98),1)</f>
        <v>4316.8999999999996</v>
      </c>
      <c r="J99" s="2154"/>
      <c r="K99" s="489">
        <f>ROUND(SUM(K60:K98),1)</f>
        <v>1659.1</v>
      </c>
      <c r="L99" s="2154"/>
      <c r="M99" s="489">
        <f>ROUND(SUM(M60:M98),1)</f>
        <v>2636.1</v>
      </c>
      <c r="N99" s="2154"/>
      <c r="O99" s="489">
        <f>ROUND(SUM(O60:O98),1)</f>
        <v>2130.9</v>
      </c>
      <c r="P99" s="2154"/>
      <c r="Q99" s="489">
        <f>ROUND(SUM(Q60:Q98),1)</f>
        <v>0</v>
      </c>
      <c r="R99" s="2154"/>
      <c r="S99" s="489">
        <f>ROUND(SUM(S60:S98),1)</f>
        <v>0</v>
      </c>
      <c r="T99" s="2154"/>
      <c r="U99" s="489">
        <f>ROUND(SUM(U60:U98),1)</f>
        <v>0</v>
      </c>
      <c r="V99" s="2154"/>
      <c r="W99" s="489">
        <f>ROUND(SUM(W60:W98),1)</f>
        <v>0</v>
      </c>
      <c r="X99" s="414"/>
      <c r="Y99" s="489">
        <f>ROUND(SUM(Y60:Y98),1)</f>
        <v>0</v>
      </c>
      <c r="Z99" s="414"/>
      <c r="AA99" s="490"/>
      <c r="AB99" s="489">
        <f>ROUND(SUM(AB60:AB98),1)</f>
        <v>17265.3</v>
      </c>
      <c r="AC99" s="2154"/>
      <c r="AD99" s="263"/>
      <c r="AE99" s="489">
        <f>ROUND(SUM(AE60:AE98),1)</f>
        <v>14077.1</v>
      </c>
      <c r="AF99" s="277"/>
      <c r="AG99" s="2381"/>
      <c r="AH99" s="489">
        <f>ROUND(SUM(AH60:AH98),1)</f>
        <v>3188.2</v>
      </c>
      <c r="AI99" s="277"/>
      <c r="AJ99" s="74">
        <f t="shared" si="13"/>
        <v>0.22600000000000001</v>
      </c>
    </row>
    <row r="100" spans="1:45" s="810" customFormat="1" ht="16.5" customHeight="1">
      <c r="A100" s="1000"/>
      <c r="B100" s="1000"/>
      <c r="C100" s="1018"/>
      <c r="D100" s="1018"/>
      <c r="E100" s="1018"/>
      <c r="F100" s="1018"/>
      <c r="G100" s="1018"/>
      <c r="H100" s="1018"/>
      <c r="I100" s="1018"/>
      <c r="J100" s="1018"/>
      <c r="K100" s="1018"/>
      <c r="L100" s="1018"/>
      <c r="M100" s="1018"/>
      <c r="N100" s="1018"/>
      <c r="O100" s="1018"/>
      <c r="P100" s="1018"/>
      <c r="Q100" s="1018"/>
      <c r="R100" s="1018"/>
      <c r="S100" s="1018"/>
      <c r="T100" s="1018"/>
      <c r="U100" s="1018"/>
      <c r="V100" s="1018"/>
      <c r="X100" s="1018"/>
      <c r="Y100" s="1018"/>
      <c r="Z100" s="1018"/>
      <c r="AA100" s="1019"/>
      <c r="AB100" s="1018"/>
      <c r="AC100" s="2380"/>
      <c r="AD100" s="1019"/>
      <c r="AE100" s="1018"/>
      <c r="AF100" s="2380"/>
      <c r="AG100" s="1018"/>
      <c r="AH100" s="1018"/>
      <c r="AI100" s="1000"/>
      <c r="AJ100" s="518"/>
    </row>
    <row r="101" spans="1:45" ht="16.5" customHeight="1">
      <c r="A101" s="435" t="s">
        <v>22</v>
      </c>
      <c r="B101" s="435"/>
      <c r="C101" s="1015">
        <f>+'Exh F'!D90+'Exhibit G'!D83+'Exhibit H'!B42+' Exhbit I '!E59</f>
        <v>2978</v>
      </c>
      <c r="D101" s="1010"/>
      <c r="E101" s="1015">
        <f>+'Exh F'!F90+'Exhibit G'!F83+'Exhibit H'!D42+' Exhbit I '!G59</f>
        <v>3968.6</v>
      </c>
      <c r="F101" s="1010"/>
      <c r="G101" s="1015">
        <f>+'Exh F'!H90+'Exhibit G'!H83+'Exhibit H'!F42+' Exhbit I '!I59</f>
        <v>4030</v>
      </c>
      <c r="H101" s="1010"/>
      <c r="I101" s="1015">
        <f>+'Exh F'!J90+'Exhibit G'!J83+'Exhibit H'!H42+' Exhbit I '!K59</f>
        <v>3450.5</v>
      </c>
      <c r="J101" s="1010"/>
      <c r="K101" s="1015">
        <f>+'Exh F'!L90+'Exhibit G'!L83+'Exhibit H'!J42+' Exhbit I '!M59</f>
        <v>4221.8</v>
      </c>
      <c r="L101" s="1010"/>
      <c r="M101" s="1014">
        <f>+'Exh F'!N90+'Exhibit G'!N83+'Exhibit H'!L42+' Exhbit I '!O59</f>
        <v>4088.2</v>
      </c>
      <c r="N101" s="1010"/>
      <c r="O101" s="1014">
        <f>+'Exh F'!P90+'Exhibit G'!P83+'Exhibit H'!N42+' Exhbit I '!Q59</f>
        <v>3783.5</v>
      </c>
      <c r="P101" s="1010"/>
      <c r="Q101" s="1014"/>
      <c r="R101" s="1010"/>
      <c r="S101" s="1014"/>
      <c r="T101" s="1010"/>
      <c r="U101" s="1014"/>
      <c r="V101" s="1010"/>
      <c r="W101" s="1371"/>
      <c r="X101" s="1010"/>
      <c r="Y101" s="1014"/>
      <c r="Z101" s="1010"/>
      <c r="AA101" s="1011"/>
      <c r="AB101" s="1014">
        <f>ROUND(SUM(C101:Y101),1)</f>
        <v>26520.6</v>
      </c>
      <c r="AC101" s="1010"/>
      <c r="AD101" s="1012"/>
      <c r="AE101" s="1015">
        <f>+'Exh F'!AF90+'Exhibit G'!AF83+'Exhibit H'!AD42+' Exhbit I '!AG59</f>
        <v>25560.3</v>
      </c>
      <c r="AF101" s="1022"/>
      <c r="AG101" s="1010"/>
      <c r="AH101" s="1014">
        <f>ROUND(SUM(AB101-AE101),1)</f>
        <v>960.3</v>
      </c>
      <c r="AI101" s="435"/>
      <c r="AJ101" s="2916">
        <f>ROUND(IF(AE101=0,0,AH101/(AE101)),3)</f>
        <v>3.7999999999999999E-2</v>
      </c>
    </row>
    <row r="102" spans="1:45" ht="16.5" customHeight="1">
      <c r="A102" s="435"/>
      <c r="B102" s="435"/>
      <c r="C102" s="1010"/>
      <c r="D102" s="1010"/>
      <c r="E102" s="1010"/>
      <c r="F102" s="1010"/>
      <c r="G102" s="1010"/>
      <c r="H102" s="1010"/>
      <c r="I102" s="1010"/>
      <c r="J102" s="1010"/>
      <c r="K102" s="1010"/>
      <c r="L102" s="1010"/>
      <c r="M102" s="1010"/>
      <c r="N102" s="1010"/>
      <c r="O102" s="1010"/>
      <c r="P102" s="1010"/>
      <c r="Q102" s="1010"/>
      <c r="R102" s="1010"/>
      <c r="S102" s="1010"/>
      <c r="T102" s="1010"/>
      <c r="U102" s="1010"/>
      <c r="V102" s="1010"/>
      <c r="W102" s="1010"/>
      <c r="X102" s="1010"/>
      <c r="Y102" s="1010"/>
      <c r="Z102" s="1010"/>
      <c r="AA102" s="1011"/>
      <c r="AB102" s="1010"/>
      <c r="AC102" s="1010"/>
      <c r="AD102" s="1012"/>
      <c r="AE102" s="1010"/>
      <c r="AF102" s="1022"/>
      <c r="AG102" s="1010"/>
      <c r="AH102" s="1010"/>
      <c r="AI102" s="435"/>
      <c r="AJ102" s="1016"/>
    </row>
    <row r="103" spans="1:45" ht="16.5" customHeight="1">
      <c r="A103" s="225" t="s">
        <v>158</v>
      </c>
      <c r="B103" s="226"/>
      <c r="C103" s="1883">
        <f>ROUND(SUM(C101+C99+C56),1)</f>
        <v>11681</v>
      </c>
      <c r="D103" s="2154"/>
      <c r="E103" s="1883">
        <f>ROUND(SUM(E101+E99+E56),1)</f>
        <v>11296.3</v>
      </c>
      <c r="F103" s="2154"/>
      <c r="G103" s="1883">
        <f>ROUND(SUM(G101+G99+G56),1)</f>
        <v>13238.3</v>
      </c>
      <c r="H103" s="2154"/>
      <c r="I103" s="1883">
        <f>ROUND(SUM(I101+I99+I56),1)</f>
        <v>12072.2</v>
      </c>
      <c r="J103" s="2154"/>
      <c r="K103" s="1883">
        <f>ROUND(SUM(K101+K99+K56),1)</f>
        <v>9796.7000000000007</v>
      </c>
      <c r="L103" s="2154"/>
      <c r="M103" s="1883">
        <f>ROUND(SUM(M101+M99+M56),1)</f>
        <v>13989.7</v>
      </c>
      <c r="N103" s="2154"/>
      <c r="O103" s="1883">
        <f>ROUND(SUM(O101+O99+O56),1)</f>
        <v>10086.299999999999</v>
      </c>
      <c r="P103" s="2154"/>
      <c r="Q103" s="1883">
        <f>ROUND(SUM(Q101+Q99+Q56),1)</f>
        <v>0</v>
      </c>
      <c r="R103" s="2154"/>
      <c r="S103" s="1883">
        <f>ROUND(SUM(S101+S99+S56),1)</f>
        <v>0</v>
      </c>
      <c r="T103" s="2154"/>
      <c r="U103" s="1883">
        <f>ROUND(SUM(U101+U99+U56),1)</f>
        <v>0</v>
      </c>
      <c r="V103" s="2154"/>
      <c r="W103" s="1883">
        <f>ROUND(SUM(W101+W99+W56),1)</f>
        <v>0</v>
      </c>
      <c r="X103" s="414"/>
      <c r="Y103" s="1883">
        <f>ROUND(SUM(Y101+Y99+Y56),1)</f>
        <v>0</v>
      </c>
      <c r="Z103" s="482"/>
      <c r="AA103" s="483"/>
      <c r="AB103" s="1883">
        <f>ROUND(SUM(AB101+AB99+AB56),1)</f>
        <v>82160.5</v>
      </c>
      <c r="AC103" s="2154"/>
      <c r="AD103" s="263"/>
      <c r="AE103" s="1883">
        <f>ROUND(SUM(AE101+AE99+AE56),1)</f>
        <v>78246.399999999994</v>
      </c>
      <c r="AF103" s="277"/>
      <c r="AG103" s="2381"/>
      <c r="AH103" s="1883">
        <f>ROUND(SUM(AH101+AH99+AH56),1)</f>
        <v>3914.1</v>
      </c>
      <c r="AI103" s="277"/>
      <c r="AJ103" s="2230">
        <f>ROUND(IF(AE103=0,0,AH103/(AE103)),3)</f>
        <v>0.05</v>
      </c>
      <c r="AK103" s="810"/>
      <c r="AL103" s="810"/>
      <c r="AM103" s="810"/>
      <c r="AN103" s="810"/>
      <c r="AO103" s="810"/>
      <c r="AP103" s="810"/>
      <c r="AQ103" s="810"/>
      <c r="AR103" s="810"/>
      <c r="AS103" s="810"/>
    </row>
    <row r="104" spans="1:45" ht="16.5" customHeight="1">
      <c r="A104" s="414"/>
      <c r="B104" s="435"/>
      <c r="C104" s="1021"/>
      <c r="D104" s="1010"/>
      <c r="E104" s="1021"/>
      <c r="F104" s="1010"/>
      <c r="G104" s="1021"/>
      <c r="H104" s="1010"/>
      <c r="I104" s="1021"/>
      <c r="J104" s="1010"/>
      <c r="K104" s="1021"/>
      <c r="L104" s="1010"/>
      <c r="M104" s="1021"/>
      <c r="N104" s="1010"/>
      <c r="O104" s="1021"/>
      <c r="P104" s="1010"/>
      <c r="Q104" s="1021"/>
      <c r="R104" s="1010"/>
      <c r="S104" s="1021"/>
      <c r="T104" s="1010"/>
      <c r="U104" s="1021"/>
      <c r="V104" s="1010"/>
      <c r="W104" s="1021"/>
      <c r="X104" s="1010"/>
      <c r="Y104" s="1021"/>
      <c r="Z104" s="1010"/>
      <c r="AA104" s="1011"/>
      <c r="AB104" s="1021"/>
      <c r="AC104" s="1010"/>
      <c r="AD104" s="1012"/>
      <c r="AE104" s="1021"/>
      <c r="AF104" s="1010"/>
      <c r="AG104" s="1010"/>
      <c r="AH104" s="1214"/>
      <c r="AI104" s="435"/>
      <c r="AJ104" s="1857"/>
    </row>
    <row r="105" spans="1:45" ht="16.5" customHeight="1">
      <c r="A105" s="414" t="s">
        <v>24</v>
      </c>
      <c r="B105" s="435"/>
      <c r="C105" s="1022"/>
      <c r="D105" s="1010"/>
      <c r="E105" s="1022"/>
      <c r="F105" s="1010"/>
      <c r="G105" s="1022"/>
      <c r="H105" s="1010"/>
      <c r="I105" s="1022"/>
      <c r="J105" s="1010"/>
      <c r="K105" s="1022"/>
      <c r="L105" s="1010"/>
      <c r="M105" s="1022"/>
      <c r="N105" s="1010"/>
      <c r="O105" s="1022"/>
      <c r="P105" s="1010"/>
      <c r="Q105" s="1022"/>
      <c r="R105" s="1010"/>
      <c r="S105" s="1022"/>
      <c r="T105" s="1010"/>
      <c r="U105" s="1022"/>
      <c r="V105" s="1010"/>
      <c r="W105" s="1022"/>
      <c r="X105" s="1010"/>
      <c r="Y105" s="1022"/>
      <c r="Z105" s="1010"/>
      <c r="AA105" s="1011"/>
      <c r="AB105" s="1022"/>
      <c r="AC105" s="1010"/>
      <c r="AD105" s="1012"/>
      <c r="AE105" s="1022"/>
      <c r="AF105" s="1010"/>
      <c r="AG105" s="1010"/>
      <c r="AH105" s="1214"/>
      <c r="AI105" s="435"/>
      <c r="AJ105" s="1857"/>
    </row>
    <row r="106" spans="1:45" ht="16.5" customHeight="1">
      <c r="A106" s="435" t="s">
        <v>144</v>
      </c>
      <c r="B106" s="435"/>
      <c r="C106" s="1010"/>
      <c r="D106" s="1010"/>
      <c r="E106" s="1010"/>
      <c r="F106" s="1010"/>
      <c r="G106" s="1010"/>
      <c r="H106" s="1010"/>
      <c r="I106" s="1010"/>
      <c r="J106" s="1010"/>
      <c r="K106" s="1010"/>
      <c r="L106" s="1010"/>
      <c r="M106" s="1010"/>
      <c r="N106" s="1010"/>
      <c r="O106" s="1010"/>
      <c r="P106" s="1010"/>
      <c r="Q106" s="1010"/>
      <c r="R106" s="1010"/>
      <c r="S106" s="1010"/>
      <c r="T106" s="1010"/>
      <c r="U106" s="1010"/>
      <c r="V106" s="1010"/>
      <c r="W106" s="1010"/>
      <c r="X106" s="1010"/>
      <c r="Y106" s="1010"/>
      <c r="Z106" s="1010"/>
      <c r="AA106" s="1011"/>
      <c r="AB106" s="1010"/>
      <c r="AC106" s="1010"/>
      <c r="AD106" s="1012"/>
      <c r="AE106" s="265"/>
      <c r="AF106" s="1010"/>
      <c r="AG106" s="1010"/>
      <c r="AH106" s="1010"/>
      <c r="AI106" s="435"/>
      <c r="AJ106" s="2201"/>
    </row>
    <row r="107" spans="1:45" ht="16.5" customHeight="1">
      <c r="A107" s="486" t="s">
        <v>26</v>
      </c>
      <c r="B107" s="435"/>
      <c r="C107" s="1010">
        <f>+'Exh F'!D96+'Exhibit G'!D89+' Exhbit I '!E65</f>
        <v>763.8</v>
      </c>
      <c r="D107" s="1010"/>
      <c r="E107" s="2365">
        <f>+'Exh F'!F96+'Exhibit G'!F89+' Exhbit I '!G65</f>
        <v>3474.7999999999997</v>
      </c>
      <c r="F107" s="1010"/>
      <c r="G107" s="2365">
        <f>+'Exh F'!H96+'Exhibit G'!H89+' Exhbit I '!I65</f>
        <v>3405.4999999999995</v>
      </c>
      <c r="H107" s="1010"/>
      <c r="I107" s="2365">
        <f>+'Exh F'!J96+'Exhibit G'!J89+' Exhbit I '!K65</f>
        <v>1129.5999999999999</v>
      </c>
      <c r="J107" s="1010"/>
      <c r="K107" s="2365">
        <f>+'Exh F'!L96+'Exhibit G'!L89+' Exhbit I '!M65</f>
        <v>1034.0999999999999</v>
      </c>
      <c r="L107" s="1010"/>
      <c r="M107" s="2365">
        <f>+'Exh F'!N96+'Exhibit G'!N89+' Exhbit I '!O65</f>
        <v>4612.7</v>
      </c>
      <c r="N107" s="1010"/>
      <c r="O107" s="2365">
        <f>+'Exh F'!P96+'Exhibit G'!P89+' Exhbit I '!Q65</f>
        <v>1638.6</v>
      </c>
      <c r="P107" s="1010"/>
      <c r="Q107" s="1023"/>
      <c r="R107" s="1010"/>
      <c r="S107" s="1023"/>
      <c r="T107" s="1010"/>
      <c r="U107" s="1024"/>
      <c r="V107" s="1010"/>
      <c r="X107" s="1010"/>
      <c r="Y107" s="1010"/>
      <c r="Z107" s="1010"/>
      <c r="AA107" s="1011"/>
      <c r="AB107" s="265">
        <f>ROUND(SUM(C107:Y107),1)</f>
        <v>16059.1</v>
      </c>
      <c r="AC107" s="1010"/>
      <c r="AD107" s="1012"/>
      <c r="AE107" s="265">
        <f>+'Exh F'!AF96+'Exhibit G'!AF89+' Exhbit I '!AG65</f>
        <v>15138.3</v>
      </c>
      <c r="AF107" s="1010"/>
      <c r="AG107" s="1010"/>
      <c r="AH107" s="1010">
        <f>ROUND(SUM(AB107-AE107),1)</f>
        <v>920.8</v>
      </c>
      <c r="AI107" s="435"/>
      <c r="AJ107" s="2040">
        <f>ROUND(IF(AE107=0,0,AH107/(AE107)),3)</f>
        <v>6.0999999999999999E-2</v>
      </c>
    </row>
    <row r="108" spans="1:45" ht="16.5" customHeight="1">
      <c r="A108" s="486" t="s">
        <v>27</v>
      </c>
      <c r="B108" s="435"/>
      <c r="C108" s="1010">
        <f>+'Exh F'!D97+'Exhibit G'!D90+' Exhbit I '!E66</f>
        <v>2.5999999999999996</v>
      </c>
      <c r="D108" s="1010"/>
      <c r="E108" s="2365">
        <f>+'Exh F'!F97+'Exhibit G'!F90+' Exhbit I '!G66</f>
        <v>4.3</v>
      </c>
      <c r="F108" s="1010"/>
      <c r="G108" s="2365">
        <f>+'Exh F'!H97+'Exhibit G'!H90+' Exhbit I '!I66</f>
        <v>7.5</v>
      </c>
      <c r="H108" s="1010"/>
      <c r="I108" s="2365">
        <f>+'Exh F'!J97+'Exhibit G'!J90+' Exhbit I '!K66</f>
        <v>11.2</v>
      </c>
      <c r="J108" s="1010"/>
      <c r="K108" s="2365">
        <f>+'Exh F'!L97+'Exhibit G'!L90+' Exhbit I '!M66</f>
        <v>5.7</v>
      </c>
      <c r="L108" s="1010"/>
      <c r="M108" s="2365">
        <f>+'Exh F'!N97+'Exhibit G'!N90+' Exhbit I '!O66</f>
        <v>6.3999999999999995</v>
      </c>
      <c r="N108" s="1010"/>
      <c r="O108" s="2365">
        <f>+'Exh F'!P97+'Exhibit G'!P90+' Exhbit I '!Q66</f>
        <v>8.7999999999999989</v>
      </c>
      <c r="P108" s="1010"/>
      <c r="Q108" s="1023"/>
      <c r="R108" s="1010"/>
      <c r="S108" s="1023"/>
      <c r="T108" s="1010"/>
      <c r="U108" s="1024"/>
      <c r="V108" s="1010"/>
      <c r="X108" s="1010"/>
      <c r="Y108" s="1010"/>
      <c r="Z108" s="1010"/>
      <c r="AA108" s="1011"/>
      <c r="AB108" s="265">
        <f t="shared" ref="AB108:AB115" si="14">ROUND(SUM(C108:Y108),1)</f>
        <v>46.5</v>
      </c>
      <c r="AC108" s="1010"/>
      <c r="AD108" s="1012"/>
      <c r="AE108" s="265">
        <f>+'Exh F'!AF97+'Exhibit G'!AF90+' Exhbit I '!AG66</f>
        <v>212.2</v>
      </c>
      <c r="AF108" s="1010"/>
      <c r="AG108" s="1010"/>
      <c r="AH108" s="1010">
        <f t="shared" ref="AH108:AH115" si="15">ROUND(SUM(AB108-AE108),1)</f>
        <v>-165.7</v>
      </c>
      <c r="AI108" s="435"/>
      <c r="AJ108" s="2040">
        <f>ROUND(IF(AE108=0,0,AH108/(AE108)),3)</f>
        <v>-0.78100000000000003</v>
      </c>
    </row>
    <row r="109" spans="1:45" ht="16.5" customHeight="1">
      <c r="A109" s="486" t="s">
        <v>28</v>
      </c>
      <c r="B109" s="435"/>
      <c r="C109" s="1010">
        <f>+'Exh F'!D98+'Exhibit G'!D91+' Exhbit I '!E67</f>
        <v>17.600000000000001</v>
      </c>
      <c r="D109" s="1010"/>
      <c r="E109" s="2365">
        <f>+'Exh F'!F98+'Exhibit G'!F91+' Exhbit I '!G67</f>
        <v>24.3</v>
      </c>
      <c r="F109" s="1010"/>
      <c r="G109" s="2365">
        <f>+'Exh F'!H98+'Exhibit G'!H91+' Exhbit I '!I67</f>
        <v>581.70000000000005</v>
      </c>
      <c r="H109" s="1010"/>
      <c r="I109" s="2365">
        <f>+'Exh F'!J98+'Exhibit G'!J91+' Exhbit I '!K67</f>
        <v>32.700000000000003</v>
      </c>
      <c r="J109" s="1010"/>
      <c r="K109" s="2365">
        <f>+'Exh F'!L98+'Exhibit G'!L91+' Exhbit I '!M67</f>
        <v>63</v>
      </c>
      <c r="L109" s="1010"/>
      <c r="M109" s="2365">
        <f>+'Exh F'!N98+'Exhibit G'!N91+' Exhbit I '!O67</f>
        <v>158</v>
      </c>
      <c r="N109" s="1010"/>
      <c r="O109" s="2365">
        <f>+'Exh F'!P98+'Exhibit G'!P91+' Exhbit I '!Q67</f>
        <v>39.099999999999994</v>
      </c>
      <c r="P109" s="1010"/>
      <c r="Q109" s="1023"/>
      <c r="R109" s="1010"/>
      <c r="S109" s="1023"/>
      <c r="T109" s="1010"/>
      <c r="U109" s="1024"/>
      <c r="V109" s="1010"/>
      <c r="X109" s="1010"/>
      <c r="Y109" s="1010"/>
      <c r="Z109" s="1010"/>
      <c r="AA109" s="1011"/>
      <c r="AB109" s="265">
        <f t="shared" si="14"/>
        <v>916.4</v>
      </c>
      <c r="AC109" s="1010"/>
      <c r="AD109" s="1012"/>
      <c r="AE109" s="265">
        <f>+'Exh F'!AF98+'Exhibit G'!AF91+' Exhbit I '!AG67</f>
        <v>1013.5</v>
      </c>
      <c r="AF109" s="1010"/>
      <c r="AG109" s="1010"/>
      <c r="AH109" s="1010">
        <f t="shared" si="15"/>
        <v>-97.1</v>
      </c>
      <c r="AI109" s="435"/>
      <c r="AJ109" s="2040">
        <f>ROUND(IF(AE109=0,0,AH109/(AE109)),3)</f>
        <v>-9.6000000000000002E-2</v>
      </c>
    </row>
    <row r="110" spans="1:45" ht="16.5" customHeight="1">
      <c r="A110" s="486" t="s">
        <v>29</v>
      </c>
      <c r="B110" s="435"/>
      <c r="C110" s="1010"/>
      <c r="D110" s="1010"/>
      <c r="E110" s="2365"/>
      <c r="F110" s="1010"/>
      <c r="G110" s="2365"/>
      <c r="H110" s="1010"/>
      <c r="I110" s="2365"/>
      <c r="J110" s="1010"/>
      <c r="K110" s="2365"/>
      <c r="L110" s="1010"/>
      <c r="M110" s="2365"/>
      <c r="N110" s="1010"/>
      <c r="O110" s="2365"/>
      <c r="P110" s="1010"/>
      <c r="Q110" s="1023"/>
      <c r="R110" s="1010"/>
      <c r="S110" s="1023"/>
      <c r="T110" s="1010"/>
      <c r="U110" s="1010"/>
      <c r="V110" s="1010"/>
      <c r="X110" s="1010"/>
      <c r="Y110" s="1010"/>
      <c r="Z110" s="1010"/>
      <c r="AA110" s="1011"/>
      <c r="AB110" s="265"/>
      <c r="AC110" s="1010"/>
      <c r="AD110" s="1012"/>
      <c r="AE110" s="377"/>
      <c r="AF110" s="1010"/>
      <c r="AG110" s="1010"/>
      <c r="AH110" s="1010" t="s">
        <v>16</v>
      </c>
      <c r="AI110" s="435"/>
      <c r="AJ110" s="2201"/>
    </row>
    <row r="111" spans="1:45" ht="16.5" customHeight="1">
      <c r="A111" s="487" t="s">
        <v>30</v>
      </c>
      <c r="B111" s="435"/>
      <c r="C111" s="1010">
        <f>+'Exh F'!D100+'Exhibit G'!D93+' Exhbit I '!E69</f>
        <v>3623.6000000000004</v>
      </c>
      <c r="D111" s="1010"/>
      <c r="E111" s="2365">
        <f>+'Exh F'!F100+'Exhibit G'!F93+' Exhbit I '!G69</f>
        <v>3615.8</v>
      </c>
      <c r="F111" s="1010"/>
      <c r="G111" s="2365">
        <f>+'Exh F'!H100+'Exhibit G'!H93+' Exhbit I '!I69</f>
        <v>4032</v>
      </c>
      <c r="H111" s="1010"/>
      <c r="I111" s="2365">
        <f>+'Exh F'!J100+'Exhibit G'!J93+' Exhbit I '!K69</f>
        <v>3838.2000000000003</v>
      </c>
      <c r="J111" s="1010"/>
      <c r="K111" s="2365">
        <f>+'Exh F'!L100+'Exhibit G'!L93+' Exhbit I '!M69</f>
        <v>3749.3</v>
      </c>
      <c r="L111" s="1010"/>
      <c r="M111" s="2365">
        <f>+'Exh F'!N100+'Exhibit G'!N93+' Exhbit I '!O69</f>
        <v>3442.6000000000004</v>
      </c>
      <c r="N111" s="1010"/>
      <c r="O111" s="2365">
        <f>+'Exh F'!P100+'Exhibit G'!P93+' Exhbit I '!Q69</f>
        <v>4121</v>
      </c>
      <c r="P111" s="1010"/>
      <c r="Q111" s="1023"/>
      <c r="R111" s="1010"/>
      <c r="S111" s="1023"/>
      <c r="T111" s="1010"/>
      <c r="U111" s="1010"/>
      <c r="V111" s="1010"/>
      <c r="X111" s="1010"/>
      <c r="Y111" s="1010"/>
      <c r="Z111" s="1010"/>
      <c r="AA111" s="1011"/>
      <c r="AB111" s="265">
        <f t="shared" si="14"/>
        <v>26422.5</v>
      </c>
      <c r="AC111" s="1010"/>
      <c r="AD111" s="1012"/>
      <c r="AE111" s="265">
        <f>+'Exh F'!AF100+'Exhibit G'!AF93+' Exhbit I '!AG69</f>
        <v>24149.100000000002</v>
      </c>
      <c r="AF111" s="1010"/>
      <c r="AG111" s="1010"/>
      <c r="AH111" s="1010">
        <f t="shared" si="15"/>
        <v>2273.4</v>
      </c>
      <c r="AI111" s="435"/>
      <c r="AJ111" s="2040">
        <f t="shared" ref="AJ111:AJ116" si="16">ROUND(IF(AE111=0,0,AH111/(AE111)),3)</f>
        <v>9.4E-2</v>
      </c>
      <c r="AK111" s="423"/>
    </row>
    <row r="112" spans="1:45" ht="16.5" customHeight="1">
      <c r="A112" s="486" t="s">
        <v>31</v>
      </c>
      <c r="B112" s="435"/>
      <c r="C112" s="1010">
        <f>+'Exh F'!D101+'Exhibit G'!D94+' Exhbit I '!E70</f>
        <v>230.2</v>
      </c>
      <c r="D112" s="1010"/>
      <c r="E112" s="2365">
        <f>+'Exh F'!F101+'Exhibit G'!F94+' Exhbit I '!G70</f>
        <v>334.3</v>
      </c>
      <c r="F112" s="1010"/>
      <c r="G112" s="2365">
        <f>+'Exh F'!H101+'Exhibit G'!H94+' Exhbit I '!I70</f>
        <v>467.20000000000005</v>
      </c>
      <c r="H112" s="1010"/>
      <c r="I112" s="2365">
        <f>+'Exh F'!J101+'Exhibit G'!J94+' Exhbit I '!K70</f>
        <v>479.6</v>
      </c>
      <c r="J112" s="1010"/>
      <c r="K112" s="2365">
        <f>+'Exh F'!L101+'Exhibit G'!L94+' Exhbit I '!M70</f>
        <v>489.5</v>
      </c>
      <c r="L112" s="1010"/>
      <c r="M112" s="2365">
        <f>+'Exh F'!N101+'Exhibit G'!N94+' Exhbit I '!O70</f>
        <v>418.40000000000003</v>
      </c>
      <c r="N112" s="1010"/>
      <c r="O112" s="2365">
        <f>+'Exh F'!P101+'Exhibit G'!P94+' Exhbit I '!Q70</f>
        <v>433.79999999999995</v>
      </c>
      <c r="P112" s="1010"/>
      <c r="Q112" s="1023"/>
      <c r="R112" s="1010"/>
      <c r="S112" s="1023"/>
      <c r="T112" s="1010"/>
      <c r="U112" s="1010"/>
      <c r="V112" s="1010"/>
      <c r="X112" s="1010"/>
      <c r="Y112" s="1010"/>
      <c r="Z112" s="1010"/>
      <c r="AA112" s="1011"/>
      <c r="AB112" s="265">
        <f t="shared" si="14"/>
        <v>2853</v>
      </c>
      <c r="AC112" s="1013"/>
      <c r="AD112" s="1010"/>
      <c r="AE112" s="265">
        <f>+'Exh F'!AF101+'Exhibit G'!AF94+' Exhbit I '!AG70</f>
        <v>2901.5</v>
      </c>
      <c r="AF112" s="1010"/>
      <c r="AG112" s="1010"/>
      <c r="AH112" s="1010">
        <f t="shared" si="15"/>
        <v>-48.5</v>
      </c>
      <c r="AI112" s="435"/>
      <c r="AJ112" s="2040">
        <f t="shared" si="16"/>
        <v>-1.7000000000000001E-2</v>
      </c>
    </row>
    <row r="113" spans="1:44" ht="16.5" customHeight="1">
      <c r="A113" s="486" t="s">
        <v>32</v>
      </c>
      <c r="B113" s="435"/>
      <c r="C113" s="1010">
        <f>+'Exh F'!D102+'Exhibit G'!D95+' Exhbit I '!E71</f>
        <v>69.800000000000011</v>
      </c>
      <c r="D113" s="1010"/>
      <c r="E113" s="2365">
        <f>+'Exh F'!F102+'Exhibit G'!F95+' Exhbit I '!G71</f>
        <v>180.20000000000002</v>
      </c>
      <c r="F113" s="1010"/>
      <c r="G113" s="2365">
        <f>+'Exh F'!H102+'Exhibit G'!H95+' Exhbit I '!I71</f>
        <v>57.599999999999994</v>
      </c>
      <c r="H113" s="1010"/>
      <c r="I113" s="2365">
        <f>+'Exh F'!J102+'Exhibit G'!J95+' Exhbit I '!K71</f>
        <v>88.300000000000011</v>
      </c>
      <c r="J113" s="1010"/>
      <c r="K113" s="2365">
        <f>+'Exh F'!L102+'Exhibit G'!L95+' Exhbit I '!M71</f>
        <v>592.69999999999993</v>
      </c>
      <c r="L113" s="1010"/>
      <c r="M113" s="2365">
        <f>+'Exh F'!N102+'Exhibit G'!N95+' Exhbit I '!O71</f>
        <v>68.900000000000006</v>
      </c>
      <c r="N113" s="1010"/>
      <c r="O113" s="2365">
        <f>+'Exh F'!P102+'Exhibit G'!P95+' Exhbit I '!Q71</f>
        <v>46.599999999999994</v>
      </c>
      <c r="P113" s="1010"/>
      <c r="Q113" s="1023"/>
      <c r="R113" s="1010"/>
      <c r="S113" s="1023"/>
      <c r="T113" s="1010"/>
      <c r="U113" s="1010"/>
      <c r="V113" s="1010"/>
      <c r="X113" s="1010"/>
      <c r="Y113" s="1010"/>
      <c r="Z113" s="1010"/>
      <c r="AA113" s="1011"/>
      <c r="AB113" s="265">
        <f t="shared" si="14"/>
        <v>1104.0999999999999</v>
      </c>
      <c r="AC113" s="1025"/>
      <c r="AD113" s="1012"/>
      <c r="AE113" s="265">
        <f>+'Exh F'!AF102+'Exhibit G'!AF95+' Exhbit I '!AG71</f>
        <v>1456.3</v>
      </c>
      <c r="AF113" s="1010"/>
      <c r="AG113" s="1010"/>
      <c r="AH113" s="1010">
        <f t="shared" si="15"/>
        <v>-352.2</v>
      </c>
      <c r="AI113" s="435"/>
      <c r="AJ113" s="2040">
        <f t="shared" si="16"/>
        <v>-0.24199999999999999</v>
      </c>
    </row>
    <row r="114" spans="1:44" ht="16.5" customHeight="1">
      <c r="A114" s="486" t="s">
        <v>33</v>
      </c>
      <c r="B114" s="435"/>
      <c r="C114" s="1010">
        <f>+'Exh F'!D103+'Exhibit G'!D96+' Exhbit I '!E72</f>
        <v>491.9</v>
      </c>
      <c r="D114" s="1010"/>
      <c r="E114" s="2365">
        <f>+'Exh F'!F103+'Exhibit G'!F96+' Exhbit I '!G72</f>
        <v>469.1</v>
      </c>
      <c r="F114" s="1010"/>
      <c r="G114" s="2365">
        <f>+'Exh F'!H103+'Exhibit G'!H96+' Exhbit I '!I72</f>
        <v>725.09999999999991</v>
      </c>
      <c r="H114" s="1010"/>
      <c r="I114" s="2365">
        <f>+'Exh F'!J103+'Exhibit G'!J96+' Exhbit I '!K72</f>
        <v>620.9</v>
      </c>
      <c r="J114" s="1010"/>
      <c r="K114" s="2365">
        <f>+'Exh F'!L103+'Exhibit G'!L96+' Exhbit I '!M72</f>
        <v>472</v>
      </c>
      <c r="L114" s="1010"/>
      <c r="M114" s="2365">
        <f>+'Exh F'!N103+'Exhibit G'!N96+' Exhbit I '!O72</f>
        <v>1019.5</v>
      </c>
      <c r="N114" s="1010"/>
      <c r="O114" s="2365">
        <f>+'Exh F'!P103+'Exhibit G'!P96+' Exhbit I '!Q72</f>
        <v>496.29999999999995</v>
      </c>
      <c r="P114" s="1010"/>
      <c r="Q114" s="1023"/>
      <c r="R114" s="1010"/>
      <c r="S114" s="1023"/>
      <c r="T114" s="1010"/>
      <c r="U114" s="1010"/>
      <c r="V114" s="1010"/>
      <c r="X114" s="1010"/>
      <c r="Y114" s="1010"/>
      <c r="Z114" s="1010"/>
      <c r="AA114" s="1011"/>
      <c r="AB114" s="265">
        <f t="shared" si="14"/>
        <v>4294.8</v>
      </c>
      <c r="AC114" s="1025"/>
      <c r="AD114" s="1012"/>
      <c r="AE114" s="265">
        <f>+'Exh F'!AF103+'Exhibit G'!AF96+' Exhbit I '!AG72</f>
        <v>4577.7</v>
      </c>
      <c r="AF114" s="1010"/>
      <c r="AG114" s="1010"/>
      <c r="AH114" s="1010">
        <f t="shared" si="15"/>
        <v>-282.89999999999998</v>
      </c>
      <c r="AI114" s="435"/>
      <c r="AJ114" s="2040">
        <f t="shared" si="16"/>
        <v>-6.2E-2</v>
      </c>
    </row>
    <row r="115" spans="1:44" ht="16.5" customHeight="1">
      <c r="A115" s="486" t="s">
        <v>34</v>
      </c>
      <c r="B115" s="435"/>
      <c r="C115" s="1010">
        <f>+'Exh F'!D104+'Exhibit G'!D97+' Exhbit I '!E73</f>
        <v>12</v>
      </c>
      <c r="D115" s="1010"/>
      <c r="E115" s="2365">
        <f>+'Exh F'!F104+'Exhibit G'!F97+' Exhbit I '!G73</f>
        <v>10.3</v>
      </c>
      <c r="F115" s="1010"/>
      <c r="G115" s="2365">
        <f>+'Exh F'!H104+'Exhibit G'!H97+' Exhbit I '!I73</f>
        <v>16.600000000000001</v>
      </c>
      <c r="H115" s="1010"/>
      <c r="I115" s="2365">
        <f>+'Exh F'!J104+'Exhibit G'!J97+' Exhbit I '!K73</f>
        <v>244.5</v>
      </c>
      <c r="J115" s="1010"/>
      <c r="K115" s="2365">
        <f>+'Exh F'!L104+'Exhibit G'!L97+' Exhbit I '!M73</f>
        <v>11.8</v>
      </c>
      <c r="L115" s="1010"/>
      <c r="M115" s="2365">
        <f>+'Exh F'!N104+'Exhibit G'!N97+' Exhbit I '!O73</f>
        <v>19</v>
      </c>
      <c r="N115" s="1010"/>
      <c r="O115" s="2365">
        <f>+'Exh F'!P104+'Exhibit G'!P97+' Exhbit I '!Q73</f>
        <v>28.8</v>
      </c>
      <c r="P115" s="1010"/>
      <c r="Q115" s="1023"/>
      <c r="R115" s="1010"/>
      <c r="S115" s="1023"/>
      <c r="T115" s="1010"/>
      <c r="U115" s="1010"/>
      <c r="V115" s="1010"/>
      <c r="X115" s="1010"/>
      <c r="Y115" s="1010"/>
      <c r="Z115" s="1010"/>
      <c r="AA115" s="1011"/>
      <c r="AB115" s="265">
        <f t="shared" si="14"/>
        <v>343</v>
      </c>
      <c r="AC115" s="1025"/>
      <c r="AD115" s="1012"/>
      <c r="AE115" s="265">
        <f>+'Exh F'!AF104+'Exhibit G'!AF97+' Exhbit I '!AG73</f>
        <v>528.79999999999995</v>
      </c>
      <c r="AF115" s="1010"/>
      <c r="AG115" s="1010"/>
      <c r="AH115" s="1010">
        <f t="shared" si="15"/>
        <v>-185.8</v>
      </c>
      <c r="AI115" s="435"/>
      <c r="AJ115" s="2040">
        <f t="shared" si="16"/>
        <v>-0.35099999999999998</v>
      </c>
    </row>
    <row r="116" spans="1:44" ht="16.5" customHeight="1">
      <c r="A116" s="486" t="s">
        <v>35</v>
      </c>
      <c r="B116" s="435"/>
      <c r="C116" s="1010">
        <f>+'Exh F'!D105+'Exhibit G'!D98+' Exhbit I '!E74</f>
        <v>213.09999999999997</v>
      </c>
      <c r="D116" s="1010"/>
      <c r="E116" s="2365">
        <f>+'Exh F'!F105+'Exhibit G'!F98+' Exhbit I '!G74</f>
        <v>602.19999999999993</v>
      </c>
      <c r="F116" s="1010"/>
      <c r="G116" s="2365">
        <f>+'Exh F'!H105+'Exhibit G'!H98+' Exhbit I '!I74</f>
        <v>448.4</v>
      </c>
      <c r="H116" s="1010"/>
      <c r="I116" s="2365">
        <f>+'Exh F'!J105+'Exhibit G'!J98+' Exhbit I '!K74</f>
        <v>388.3</v>
      </c>
      <c r="J116" s="1010"/>
      <c r="K116" s="2365">
        <f>+'Exh F'!L105+'Exhibit G'!L98+' Exhbit I '!M74</f>
        <v>512.79999999999995</v>
      </c>
      <c r="L116" s="1010"/>
      <c r="M116" s="2365">
        <f>+'Exh F'!N105+'Exhibit G'!N98+' Exhbit I '!O74</f>
        <v>553.4</v>
      </c>
      <c r="N116" s="1010"/>
      <c r="O116" s="2365">
        <f>+'Exh F'!P105+'Exhibit G'!P98+' Exhbit I '!Q74</f>
        <v>393.6</v>
      </c>
      <c r="P116" s="1010"/>
      <c r="Q116" s="1023"/>
      <c r="R116" s="1010"/>
      <c r="S116" s="1023"/>
      <c r="T116" s="1010"/>
      <c r="U116" s="1010"/>
      <c r="V116" s="1010"/>
      <c r="X116" s="1010"/>
      <c r="Y116" s="1010"/>
      <c r="Z116" s="1010"/>
      <c r="AA116" s="1011"/>
      <c r="AB116" s="1010">
        <f>ROUND(SUM(C116:Y116),1)</f>
        <v>3111.8</v>
      </c>
      <c r="AC116" s="1025"/>
      <c r="AD116" s="1012"/>
      <c r="AE116" s="265">
        <f>+'Exh F'!AF105+'Exhibit G'!AF98+' Exhbit I '!AG74</f>
        <v>3155.8</v>
      </c>
      <c r="AF116" s="1010"/>
      <c r="AG116" s="1010"/>
      <c r="AH116" s="1010">
        <f>ROUND(SUM(AB116-AE116),1)</f>
        <v>-44</v>
      </c>
      <c r="AI116" s="435"/>
      <c r="AJ116" s="2040">
        <f t="shared" si="16"/>
        <v>-1.4E-2</v>
      </c>
    </row>
    <row r="117" spans="1:44" ht="16.5" customHeight="1">
      <c r="A117" s="435" t="s">
        <v>36</v>
      </c>
      <c r="B117" s="435"/>
      <c r="C117" s="1029">
        <f>ROUND(SUM(C107:C116),1)</f>
        <v>5424.6</v>
      </c>
      <c r="D117" s="1018"/>
      <c r="E117" s="1029">
        <f>ROUND(SUM(E107:E116),1)</f>
        <v>8715.2999999999993</v>
      </c>
      <c r="F117" s="1018"/>
      <c r="G117" s="1029">
        <f>ROUND(SUM(G107:G116),1)</f>
        <v>9741.6</v>
      </c>
      <c r="H117" s="1018"/>
      <c r="I117" s="1029">
        <f>ROUND(SUM(I107:I116),1)</f>
        <v>6833.3</v>
      </c>
      <c r="J117" s="1018"/>
      <c r="K117" s="1029">
        <f>ROUND(SUM(K107:K116),1)</f>
        <v>6930.9</v>
      </c>
      <c r="L117" s="1018"/>
      <c r="M117" s="1029">
        <f>ROUND(SUM(M107:M116),1)</f>
        <v>10298.9</v>
      </c>
      <c r="N117" s="1018"/>
      <c r="O117" s="1029">
        <f>ROUND(SUM(O107:O116),1)</f>
        <v>7206.6</v>
      </c>
      <c r="P117" s="1018"/>
      <c r="Q117" s="1029">
        <f>ROUND(SUM(Q107:Q116),1)</f>
        <v>0</v>
      </c>
      <c r="R117" s="1018"/>
      <c r="S117" s="1029">
        <f>ROUND(SUM(S107:S116),1)</f>
        <v>0</v>
      </c>
      <c r="T117" s="1018"/>
      <c r="U117" s="1029">
        <f>ROUND(SUM(U107:U116),1)</f>
        <v>0</v>
      </c>
      <c r="V117" s="1018"/>
      <c r="W117" s="1029">
        <f>ROUND(SUM(W107:W116),1)</f>
        <v>0</v>
      </c>
      <c r="X117" s="1018"/>
      <c r="Y117" s="1029">
        <f>ROUND(SUM(Y107:Y116),1)</f>
        <v>0</v>
      </c>
      <c r="Z117" s="1018"/>
      <c r="AA117" s="1019"/>
      <c r="AB117" s="1029">
        <f>ROUND(SUM(AB107:AB116),1)</f>
        <v>55151.199999999997</v>
      </c>
      <c r="AC117" s="1030"/>
      <c r="AD117" s="1020"/>
      <c r="AE117" s="1029">
        <f>ROUND(SUM(AE107:AE116),1)</f>
        <v>53133.2</v>
      </c>
      <c r="AF117" s="1018"/>
      <c r="AG117" s="1018"/>
      <c r="AH117" s="1029">
        <f>ROUND(SUM(AH107:AH116),1)</f>
        <v>2018</v>
      </c>
      <c r="AI117" s="1000"/>
      <c r="AJ117" s="74">
        <f>ROUND(IF(AE117=0,0,AH117/(AE117)),3)</f>
        <v>3.7999999999999999E-2</v>
      </c>
      <c r="AK117" s="810"/>
      <c r="AL117" s="810"/>
    </row>
    <row r="118" spans="1:44" ht="16.5" customHeight="1">
      <c r="A118" s="435" t="s">
        <v>37</v>
      </c>
      <c r="B118" s="435"/>
      <c r="C118" s="1022"/>
      <c r="D118" s="1010"/>
      <c r="E118" s="1022"/>
      <c r="F118" s="1010"/>
      <c r="G118" s="1022"/>
      <c r="H118" s="1010"/>
      <c r="I118" s="1022"/>
      <c r="J118" s="1010"/>
      <c r="K118" s="1022"/>
      <c r="L118" s="1010"/>
      <c r="M118" s="1022"/>
      <c r="N118" s="1010"/>
      <c r="O118" s="1022"/>
      <c r="P118" s="1010"/>
      <c r="Q118" s="1022"/>
      <c r="R118" s="1010"/>
      <c r="S118" s="1022"/>
      <c r="T118" s="1010"/>
      <c r="U118" s="1022"/>
      <c r="V118" s="1010"/>
      <c r="W118" s="1022"/>
      <c r="X118" s="1010"/>
      <c r="Y118" s="1022"/>
      <c r="Z118" s="1010"/>
      <c r="AA118" s="1011"/>
      <c r="AB118" s="1022"/>
      <c r="AC118" s="1010"/>
      <c r="AD118" s="1012"/>
      <c r="AE118" s="253"/>
      <c r="AF118" s="1010"/>
      <c r="AG118" s="1010"/>
      <c r="AH118" s="1214"/>
      <c r="AI118" s="435"/>
      <c r="AJ118" s="1857"/>
    </row>
    <row r="119" spans="1:44" ht="16.5" customHeight="1">
      <c r="A119" s="435" t="s">
        <v>145</v>
      </c>
      <c r="B119" s="435"/>
      <c r="C119" s="1010">
        <f>+'Exh F'!D108+'Exhibit G'!D101+' Exhbit I '!E77</f>
        <v>1053.3</v>
      </c>
      <c r="D119" s="1010"/>
      <c r="E119" s="1010">
        <f>+'Exh F'!F108+'Exhibit G'!F101+' Exhbit I '!G77</f>
        <v>1180.3</v>
      </c>
      <c r="F119" s="1010"/>
      <c r="G119" s="1010">
        <f>+'Exh F'!H108+'Exhibit G'!H101+' Exhbit I '!I77</f>
        <v>1002.9</v>
      </c>
      <c r="H119" s="1010"/>
      <c r="I119" s="1010">
        <f>+'Exh F'!J108+'Exhibit G'!J101+' Exhbit I '!K77</f>
        <v>1337.6</v>
      </c>
      <c r="J119" s="1010"/>
      <c r="K119" s="1010">
        <f>+'Exh F'!L108+'Exhibit G'!L101+' Exhbit I '!M77</f>
        <v>1008</v>
      </c>
      <c r="L119" s="1010"/>
      <c r="M119" s="1010">
        <f>+'Exh F'!N108+'Exhibit G'!N101+' Exhbit I '!O77</f>
        <v>1016.9</v>
      </c>
      <c r="N119" s="1010"/>
      <c r="O119" s="1010">
        <f>+'Exh F'!P108+'Exhibit G'!P101+' Exhbit I '!Q77</f>
        <v>1176.4000000000001</v>
      </c>
      <c r="P119" s="1010"/>
      <c r="Q119" s="1022"/>
      <c r="R119" s="1010"/>
      <c r="S119" s="1022"/>
      <c r="T119" s="1010"/>
      <c r="U119" s="1022"/>
      <c r="V119" s="1010"/>
      <c r="X119" s="1010"/>
      <c r="Y119" s="1010"/>
      <c r="Z119" s="1010"/>
      <c r="AA119" s="1011"/>
      <c r="AB119" s="1010">
        <f>ROUND(SUM(C119:Y119),1)</f>
        <v>7775.4</v>
      </c>
      <c r="AC119" s="1010"/>
      <c r="AD119" s="1012"/>
      <c r="AE119" s="253">
        <f>+'Exh F'!AF108+'Exhibit G'!AF101+' Exhbit I '!AG77</f>
        <v>7701.3</v>
      </c>
      <c r="AF119" s="1010"/>
      <c r="AG119" s="1010"/>
      <c r="AH119" s="1010">
        <f>ROUND(SUM(AB119-AE119),1)</f>
        <v>74.099999999999994</v>
      </c>
      <c r="AI119" s="435"/>
      <c r="AJ119" s="2040">
        <f>ROUND(IF(AE119=0,0,AH119/(AE119)),3)</f>
        <v>0.01</v>
      </c>
    </row>
    <row r="120" spans="1:44" ht="16.5" customHeight="1">
      <c r="A120" s="435" t="s">
        <v>146</v>
      </c>
      <c r="B120" s="435"/>
      <c r="C120" s="1010">
        <f>+'Exh F'!D109+'Exhibit G'!D102+'Exhibit H'!B48+' Exhbit I '!E78</f>
        <v>444</v>
      </c>
      <c r="D120" s="1010"/>
      <c r="E120" s="1010">
        <f>+'Exh F'!F109+'Exhibit G'!F102+'Exhibit H'!D48+' Exhbit I '!G78</f>
        <v>459.59999999999997</v>
      </c>
      <c r="F120" s="1010"/>
      <c r="G120" s="1010">
        <f>+'Exh F'!H109+'Exhibit G'!H102+'Exhibit H'!F48+' Exhbit I '!I78</f>
        <v>531.4</v>
      </c>
      <c r="H120" s="1010"/>
      <c r="I120" s="1010">
        <f>+'Exh F'!J109+'Exhibit G'!J102+'Exhibit H'!H48+' Exhbit I '!K78</f>
        <v>489.4</v>
      </c>
      <c r="J120" s="1010"/>
      <c r="K120" s="1010">
        <f>+'Exh F'!L109+'Exhibit G'!L102+'Exhibit H'!J48+' Exhbit I '!M78</f>
        <v>542.69999999999993</v>
      </c>
      <c r="L120" s="1010"/>
      <c r="M120" s="1010">
        <f>+'Exh F'!N109+'Exhibit G'!N102+'Exhibit H'!L48+' Exhbit I '!O78</f>
        <v>655.5</v>
      </c>
      <c r="N120" s="1010"/>
      <c r="O120" s="1010">
        <f>+'Exh F'!P109+'Exhibit G'!P102+'Exhibit H'!N48+' Exhbit I '!Q78</f>
        <v>648.80000000000007</v>
      </c>
      <c r="P120" s="1010"/>
      <c r="Q120" s="1022"/>
      <c r="R120" s="1010"/>
      <c r="S120" s="1022"/>
      <c r="T120" s="1010"/>
      <c r="U120" s="1022"/>
      <c r="V120" s="1010"/>
      <c r="X120" s="1010"/>
      <c r="Y120" s="1010"/>
      <c r="Z120" s="1010"/>
      <c r="AA120" s="1011"/>
      <c r="AB120" s="1010">
        <f>ROUND(SUM(C120:Y120),1)</f>
        <v>3771.4</v>
      </c>
      <c r="AC120" s="1010"/>
      <c r="AD120" s="1012"/>
      <c r="AE120" s="253">
        <f>+'Exh F'!AF109+'Exhibit G'!AF102+'Exhibit H'!AD48+' Exhbit I '!AG78</f>
        <v>3613.1</v>
      </c>
      <c r="AF120" s="1010"/>
      <c r="AG120" s="1010"/>
      <c r="AH120" s="1010">
        <f>ROUND(SUM(AB120-AE120),1)</f>
        <v>158.30000000000001</v>
      </c>
      <c r="AI120" s="435"/>
      <c r="AJ120" s="2040">
        <f>ROUND(IF(AE120=0,0,AH120/(AE120)),3)</f>
        <v>4.3999999999999997E-2</v>
      </c>
    </row>
    <row r="121" spans="1:44" ht="16.5" customHeight="1">
      <c r="A121" s="435" t="s">
        <v>40</v>
      </c>
      <c r="B121" s="435"/>
      <c r="C121" s="1010">
        <f>+'Exh F'!D110+'Exhibit G'!D103+' Exhbit I '!E79</f>
        <v>688.4</v>
      </c>
      <c r="D121" s="1010"/>
      <c r="E121" s="1010">
        <f>+'Exh F'!F110+'Exhibit G'!F103+' Exhbit I '!G79</f>
        <v>842.59999999999991</v>
      </c>
      <c r="F121" s="1010"/>
      <c r="G121" s="1010">
        <f>+'Exh F'!H110+'Exhibit G'!H103+' Exhbit I '!I79</f>
        <v>518.70000000000005</v>
      </c>
      <c r="H121" s="1010"/>
      <c r="I121" s="1010">
        <f>+'Exh F'!J110+'Exhibit G'!J103+' Exhbit I '!K79</f>
        <v>742.5</v>
      </c>
      <c r="J121" s="1010"/>
      <c r="K121" s="1010">
        <f>+'Exh F'!L110+'Exhibit G'!L103+' Exhbit I '!M79</f>
        <v>590.5</v>
      </c>
      <c r="L121" s="1010"/>
      <c r="M121" s="1010">
        <f>+'Exh F'!N110+'Exhibit G'!N103+' Exhbit I '!O79</f>
        <v>1178.1000000000001</v>
      </c>
      <c r="N121" s="1010"/>
      <c r="O121" s="1010">
        <f>+'Exh F'!P110+'Exhibit G'!P103+' Exhbit I '!Q79</f>
        <v>510.70000000000005</v>
      </c>
      <c r="P121" s="1010"/>
      <c r="Q121" s="1022"/>
      <c r="R121" s="1010"/>
      <c r="S121" s="1022"/>
      <c r="T121" s="1010"/>
      <c r="U121" s="1022"/>
      <c r="V121" s="1010"/>
      <c r="X121" s="1010"/>
      <c r="Y121" s="1010"/>
      <c r="Z121" s="1010"/>
      <c r="AA121" s="1011"/>
      <c r="AB121" s="1010">
        <f>ROUND(SUM(C121:Y121),1)</f>
        <v>5071.5</v>
      </c>
      <c r="AC121" s="1010"/>
      <c r="AD121" s="1012"/>
      <c r="AE121" s="253">
        <f>+'Exh F'!AF110+'Exhibit G'!AF103+'Exhibit H'!AD49+' Exhbit I '!AG79</f>
        <v>4129.2</v>
      </c>
      <c r="AF121" s="1010"/>
      <c r="AG121" s="1010"/>
      <c r="AH121" s="1010">
        <f>ROUND(SUM(AB121-AE121),1)</f>
        <v>942.3</v>
      </c>
      <c r="AI121" s="435"/>
      <c r="AJ121" s="2040">
        <f>ROUND(IF(AE121=0,0,AH121/(AE121)),3)</f>
        <v>0.22800000000000001</v>
      </c>
    </row>
    <row r="122" spans="1:44" ht="16.5" customHeight="1">
      <c r="A122" s="435" t="s">
        <v>41</v>
      </c>
      <c r="B122" s="435"/>
      <c r="C122" s="1022"/>
      <c r="D122" s="1010"/>
      <c r="E122" s="1022"/>
      <c r="F122" s="1010"/>
      <c r="G122" s="1022"/>
      <c r="H122" s="1010"/>
      <c r="I122" s="1022"/>
      <c r="J122" s="1010"/>
      <c r="K122" s="1022"/>
      <c r="L122" s="1010"/>
      <c r="M122" s="1022"/>
      <c r="N122" s="1010"/>
      <c r="O122" s="1022"/>
      <c r="P122" s="1010"/>
      <c r="Q122" s="1022"/>
      <c r="R122" s="1010"/>
      <c r="S122" s="1022"/>
      <c r="T122" s="1010"/>
      <c r="U122" s="1022"/>
      <c r="V122" s="1010"/>
      <c r="X122" s="1010"/>
      <c r="Y122" s="1010"/>
      <c r="Z122" s="1010"/>
      <c r="AA122" s="1011"/>
      <c r="AB122" s="1010"/>
      <c r="AC122" s="1010"/>
      <c r="AD122" s="1012"/>
      <c r="AE122" s="1022"/>
      <c r="AF122" s="1010"/>
      <c r="AG122" s="1010"/>
      <c r="AH122" s="1010"/>
      <c r="AI122" s="435"/>
      <c r="AJ122" s="2201"/>
    </row>
    <row r="123" spans="1:44" ht="16.5" customHeight="1">
      <c r="A123" s="435" t="s">
        <v>42</v>
      </c>
      <c r="B123" s="435"/>
      <c r="C123" s="1010">
        <f>+'Exhibit H'!B50</f>
        <v>173.2</v>
      </c>
      <c r="D123" s="1010"/>
      <c r="E123" s="1010">
        <f>+'Exhibit H'!D50</f>
        <v>216.8</v>
      </c>
      <c r="F123" s="1010"/>
      <c r="G123" s="1010">
        <f>+'Exhibit H'!F50</f>
        <v>290.8</v>
      </c>
      <c r="H123" s="1010"/>
      <c r="I123" s="1010">
        <f>+'Exhibit H'!H50</f>
        <v>77.7</v>
      </c>
      <c r="J123" s="1010"/>
      <c r="K123" s="1010">
        <f>+'Exhibit H'!J50</f>
        <v>396.9</v>
      </c>
      <c r="L123" s="1010"/>
      <c r="M123" s="1010">
        <f>+'Exhibit H'!L50</f>
        <v>752.3</v>
      </c>
      <c r="N123" s="1010"/>
      <c r="O123" s="1010">
        <f>+'Exhibit H'!N50</f>
        <v>144.6</v>
      </c>
      <c r="P123" s="1010"/>
      <c r="Q123" s="1022"/>
      <c r="R123" s="1010"/>
      <c r="S123" s="1022"/>
      <c r="T123" s="1010"/>
      <c r="U123" s="1022"/>
      <c r="V123" s="1010"/>
      <c r="X123" s="1010"/>
      <c r="Y123" s="1010"/>
      <c r="Z123" s="1010"/>
      <c r="AA123" s="1011"/>
      <c r="AB123" s="1010">
        <f>ROUND(SUM(C123:Y123),1)</f>
        <v>2052.3000000000002</v>
      </c>
      <c r="AC123" s="1010"/>
      <c r="AD123" s="1012"/>
      <c r="AE123" s="253">
        <f>+'Exhibit H'!AD50</f>
        <v>2305.4</v>
      </c>
      <c r="AF123" s="1010"/>
      <c r="AG123" s="1010"/>
      <c r="AH123" s="1010">
        <f>ROUND(SUM(AB123-AE123),1)</f>
        <v>-253.1</v>
      </c>
      <c r="AI123" s="435"/>
      <c r="AJ123" s="2040">
        <f>ROUND(IF(AE123=0,0,AH123/(AE123)),3)</f>
        <v>-0.11</v>
      </c>
    </row>
    <row r="124" spans="1:44" ht="16.5" customHeight="1">
      <c r="A124" s="1028" t="s">
        <v>147</v>
      </c>
      <c r="B124" s="435"/>
      <c r="C124" s="1015">
        <f>+'Exhibit G'!D104+' Exhbit I '!E80</f>
        <v>295.8</v>
      </c>
      <c r="D124" s="1010"/>
      <c r="E124" s="1015">
        <f>+'Exhibit G'!F104+' Exhbit I '!G80</f>
        <v>340.7</v>
      </c>
      <c r="F124" s="1010"/>
      <c r="G124" s="1015">
        <f>+'Exhibit G'!H104+' Exhbit I '!I80</f>
        <v>523.20000000000005</v>
      </c>
      <c r="H124" s="1010"/>
      <c r="I124" s="1015">
        <f>+'Exhibit G'!J104+' Exhbit I '!K80</f>
        <v>475.2</v>
      </c>
      <c r="J124" s="1010"/>
      <c r="K124" s="1015">
        <f>+'Exhibit G'!L104+' Exhbit I '!M80</f>
        <v>490.5</v>
      </c>
      <c r="L124" s="1010"/>
      <c r="M124" s="1015">
        <f>+'Exhibit G'!N104+' Exhbit I '!O80</f>
        <v>538.1</v>
      </c>
      <c r="N124" s="1010"/>
      <c r="O124" s="1015">
        <f>+'Exhibit G'!P104+' Exhbit I '!Q80</f>
        <v>477.3</v>
      </c>
      <c r="P124" s="1010"/>
      <c r="Q124" s="1014"/>
      <c r="R124" s="1010"/>
      <c r="S124" s="1014"/>
      <c r="T124" s="1010"/>
      <c r="U124" s="1014"/>
      <c r="V124" s="1010"/>
      <c r="W124" s="1371"/>
      <c r="X124" s="1010"/>
      <c r="Y124" s="1014"/>
      <c r="Z124" s="1010"/>
      <c r="AA124" s="1011"/>
      <c r="AB124" s="1014">
        <f>ROUND(SUM(C124:Y124),1)</f>
        <v>3140.8</v>
      </c>
      <c r="AC124" s="1010"/>
      <c r="AD124" s="1012"/>
      <c r="AE124" s="1027">
        <f>+'Exhibit G'!AF104+' Exhbit I '!AG80</f>
        <v>3306.1</v>
      </c>
      <c r="AF124" s="1010"/>
      <c r="AG124" s="1010"/>
      <c r="AH124" s="1014">
        <f>ROUND(SUM(AB124-AE124),1)</f>
        <v>-165.3</v>
      </c>
      <c r="AI124" s="435"/>
      <c r="AJ124" s="2916">
        <f>ROUND(IF(AE124=0,0,AH124/(AE124)),3)</f>
        <v>-0.05</v>
      </c>
    </row>
    <row r="125" spans="1:44" ht="16.5" customHeight="1">
      <c r="A125" s="435"/>
      <c r="B125" s="435"/>
      <c r="C125" s="1022"/>
      <c r="D125" s="1010"/>
      <c r="E125" s="1022"/>
      <c r="F125" s="1010"/>
      <c r="G125" s="1022"/>
      <c r="H125" s="1010"/>
      <c r="I125" s="1022"/>
      <c r="J125" s="1010"/>
      <c r="K125" s="1022"/>
      <c r="L125" s="1010"/>
      <c r="M125" s="1022"/>
      <c r="N125" s="1010"/>
      <c r="O125" s="1022"/>
      <c r="P125" s="1010"/>
      <c r="Q125" s="1022"/>
      <c r="R125" s="1010"/>
      <c r="S125" s="1022"/>
      <c r="T125" s="1010"/>
      <c r="U125" s="1022"/>
      <c r="V125" s="1010"/>
      <c r="W125" s="1022"/>
      <c r="X125" s="1010"/>
      <c r="Y125" s="1022"/>
      <c r="Z125" s="1010"/>
      <c r="AA125" s="1011"/>
      <c r="AB125" s="1022"/>
      <c r="AC125" s="1010"/>
      <c r="AD125" s="1012"/>
      <c r="AE125" s="1022"/>
      <c r="AF125" s="1010"/>
      <c r="AG125" s="1010"/>
      <c r="AH125" s="1022"/>
      <c r="AI125" s="435"/>
      <c r="AJ125" s="1311"/>
    </row>
    <row r="126" spans="1:44" ht="16.5" customHeight="1">
      <c r="A126" s="414" t="s">
        <v>61</v>
      </c>
      <c r="B126" s="435"/>
      <c r="C126" s="1017">
        <f>ROUND(SUM(C117:C124),1)</f>
        <v>8079.3</v>
      </c>
      <c r="D126" s="1018"/>
      <c r="E126" s="1017">
        <f>ROUND(SUM(E117:E124),1)</f>
        <v>11755.3</v>
      </c>
      <c r="F126" s="1018"/>
      <c r="G126" s="1017">
        <f>ROUND(SUM(G117:G124),1)</f>
        <v>12608.6</v>
      </c>
      <c r="H126" s="1018"/>
      <c r="I126" s="1017">
        <f>ROUND(SUM(I117:I124),1)</f>
        <v>9955.7000000000007</v>
      </c>
      <c r="J126" s="1018"/>
      <c r="K126" s="1017">
        <f>ROUND(SUM(K117:K124),1)</f>
        <v>9959.5</v>
      </c>
      <c r="L126" s="1018"/>
      <c r="M126" s="1017">
        <f>ROUND(SUM(M117:M124),1)</f>
        <v>14439.8</v>
      </c>
      <c r="N126" s="1018"/>
      <c r="O126" s="1017">
        <f>ROUND(SUM(O117:O124),1)</f>
        <v>10164.4</v>
      </c>
      <c r="P126" s="1018"/>
      <c r="Q126" s="1017">
        <f>ROUND(SUM(Q117:Q124),1)</f>
        <v>0</v>
      </c>
      <c r="R126" s="1018"/>
      <c r="S126" s="1017">
        <f>ROUND(SUM(S117:S124),1)</f>
        <v>0</v>
      </c>
      <c r="T126" s="1018"/>
      <c r="U126" s="1017">
        <f>ROUND(SUM(U117:U124),1)</f>
        <v>0</v>
      </c>
      <c r="V126" s="1018"/>
      <c r="W126" s="1017">
        <f>ROUND(SUM(W117:W124),1)</f>
        <v>0</v>
      </c>
      <c r="X126" s="1018"/>
      <c r="Y126" s="1017">
        <f>ROUND(SUM(Y117:Y124),1)</f>
        <v>0</v>
      </c>
      <c r="Z126" s="1018"/>
      <c r="AA126" s="1019"/>
      <c r="AB126" s="1017">
        <f>ROUND(SUM(AB117:AB124),1)</f>
        <v>76962.600000000006</v>
      </c>
      <c r="AC126" s="1018"/>
      <c r="AD126" s="1020"/>
      <c r="AE126" s="1017">
        <f>ROUND(SUM(AE117:AE124),1)</f>
        <v>74188.3</v>
      </c>
      <c r="AF126" s="1018"/>
      <c r="AG126" s="1018"/>
      <c r="AH126" s="1017">
        <f>ROUND(SUM(AB126-AE126),1)</f>
        <v>2774.3</v>
      </c>
      <c r="AI126" s="1000"/>
      <c r="AJ126" s="2230">
        <f>ROUND(IF(AE126=0,0,AH126/(AE126)),3)</f>
        <v>3.6999999999999998E-2</v>
      </c>
      <c r="AK126" s="810"/>
      <c r="AL126" s="810"/>
      <c r="AM126" s="810"/>
      <c r="AN126" s="810"/>
      <c r="AO126" s="810"/>
      <c r="AP126" s="810"/>
      <c r="AQ126" s="810"/>
      <c r="AR126" s="810"/>
    </row>
    <row r="127" spans="1:44" ht="16.5" customHeight="1">
      <c r="A127" s="414"/>
      <c r="B127" s="435"/>
      <c r="C127" s="1010"/>
      <c r="D127" s="1010"/>
      <c r="E127" s="1010"/>
      <c r="F127" s="1010"/>
      <c r="G127" s="1010"/>
      <c r="H127" s="1010"/>
      <c r="I127" s="1010"/>
      <c r="J127" s="1010"/>
      <c r="K127" s="1010"/>
      <c r="L127" s="1010"/>
      <c r="M127" s="1010"/>
      <c r="N127" s="1010"/>
      <c r="O127" s="1010"/>
      <c r="P127" s="1010"/>
      <c r="Q127" s="1010"/>
      <c r="R127" s="1010"/>
      <c r="S127" s="1010"/>
      <c r="T127" s="1010"/>
      <c r="U127" s="1010"/>
      <c r="V127" s="1010"/>
      <c r="W127" s="1010"/>
      <c r="X127" s="1010"/>
      <c r="Y127" s="1010"/>
      <c r="Z127" s="1010"/>
      <c r="AA127" s="1011"/>
      <c r="AB127" s="1010"/>
      <c r="AC127" s="1010"/>
      <c r="AD127" s="1012"/>
      <c r="AE127" s="1010"/>
      <c r="AF127" s="1010"/>
      <c r="AG127" s="1010"/>
      <c r="AH127" s="1214"/>
      <c r="AI127" s="435"/>
      <c r="AJ127" s="1857"/>
    </row>
    <row r="128" spans="1:44" ht="16.5" customHeight="1">
      <c r="A128" s="414" t="s">
        <v>45</v>
      </c>
      <c r="B128" s="435"/>
      <c r="C128" s="1010"/>
      <c r="D128" s="1010"/>
      <c r="E128" s="1010"/>
      <c r="F128" s="1010"/>
      <c r="G128" s="1010"/>
      <c r="H128" s="1010"/>
      <c r="I128" s="1010"/>
      <c r="J128" s="1010"/>
      <c r="K128" s="1010"/>
      <c r="L128" s="1010"/>
      <c r="M128" s="1010"/>
      <c r="N128" s="1010"/>
      <c r="O128" s="1010"/>
      <c r="P128" s="1010"/>
      <c r="Q128" s="1010"/>
      <c r="R128" s="1010"/>
      <c r="S128" s="1010"/>
      <c r="T128" s="1010"/>
      <c r="U128" s="1010"/>
      <c r="V128" s="1010"/>
      <c r="W128" s="1010"/>
      <c r="X128" s="1010"/>
      <c r="Y128" s="1010"/>
      <c r="Z128" s="1010"/>
      <c r="AA128" s="1011"/>
      <c r="AB128" s="1010"/>
      <c r="AC128" s="1010"/>
      <c r="AD128" s="1012"/>
      <c r="AE128" s="1010"/>
      <c r="AF128" s="1010"/>
      <c r="AG128" s="1010"/>
      <c r="AH128" s="1214"/>
      <c r="AI128" s="435"/>
      <c r="AJ128" s="1857"/>
    </row>
    <row r="129" spans="1:59" ht="16.5" customHeight="1">
      <c r="A129" s="414" t="s">
        <v>46</v>
      </c>
      <c r="B129" s="435"/>
      <c r="C129" s="1017">
        <f>ROUND(SUM(C103-C126),1)</f>
        <v>3601.7</v>
      </c>
      <c r="D129" s="1018"/>
      <c r="E129" s="1017">
        <f>ROUND(SUM(E103-E126),1)</f>
        <v>-459</v>
      </c>
      <c r="F129" s="1018"/>
      <c r="G129" s="1017">
        <f>ROUND(SUM(G103-G126),1)</f>
        <v>629.70000000000005</v>
      </c>
      <c r="H129" s="1018"/>
      <c r="I129" s="1017">
        <f>ROUND(SUM(I103-I126),1)</f>
        <v>2116.5</v>
      </c>
      <c r="J129" s="1018"/>
      <c r="K129" s="1017">
        <f>ROUND(SUM(K103-K126),1)</f>
        <v>-162.80000000000001</v>
      </c>
      <c r="L129" s="1018"/>
      <c r="M129" s="1017">
        <f>ROUND(SUM(M103-M126),1)</f>
        <v>-450.1</v>
      </c>
      <c r="N129" s="1018"/>
      <c r="O129" s="1017">
        <f>ROUND(SUM(O103-O126),1)</f>
        <v>-78.099999999999994</v>
      </c>
      <c r="P129" s="1018"/>
      <c r="Q129" s="1017">
        <f>ROUND(SUM(Q103-Q126),1)</f>
        <v>0</v>
      </c>
      <c r="R129" s="1018"/>
      <c r="S129" s="1017">
        <f>ROUND(SUM(S103-S126),1)</f>
        <v>0</v>
      </c>
      <c r="T129" s="1018"/>
      <c r="U129" s="1017">
        <f>ROUND(SUM(U103-U126),1)</f>
        <v>0</v>
      </c>
      <c r="V129" s="1018"/>
      <c r="W129" s="1017">
        <f>ROUND(SUM(W103-W126),1)</f>
        <v>0</v>
      </c>
      <c r="X129" s="1018"/>
      <c r="Y129" s="1017">
        <f>ROUND(SUM(Y103-Y126),1)</f>
        <v>0</v>
      </c>
      <c r="Z129" s="1018"/>
      <c r="AA129" s="1019"/>
      <c r="AB129" s="1017">
        <f>ROUND(SUM(AB103-AB126),1)</f>
        <v>5197.8999999999996</v>
      </c>
      <c r="AC129" s="1018"/>
      <c r="AD129" s="1020"/>
      <c r="AE129" s="1017">
        <f>ROUND(SUM(AE103-AE126),1)</f>
        <v>4058.1</v>
      </c>
      <c r="AF129" s="1018"/>
      <c r="AG129" s="1018"/>
      <c r="AH129" s="1031">
        <f>ROUND(SUM(AB129-AE129),1)</f>
        <v>1139.8</v>
      </c>
      <c r="AI129" s="1000"/>
      <c r="AJ129" s="2230">
        <f>ROUND(IF(AE129=0,0,AH129/(AE129)),3)</f>
        <v>0.28100000000000003</v>
      </c>
      <c r="AK129" s="810"/>
      <c r="AL129" s="810"/>
    </row>
    <row r="130" spans="1:59" ht="16.5" customHeight="1">
      <c r="A130" s="372"/>
      <c r="B130" s="435"/>
      <c r="C130" s="1021"/>
      <c r="D130" s="1010"/>
      <c r="E130" s="1021"/>
      <c r="F130" s="1010"/>
      <c r="G130" s="1021"/>
      <c r="H130" s="1010"/>
      <c r="I130" s="1021"/>
      <c r="J130" s="1010"/>
      <c r="K130" s="1021"/>
      <c r="L130" s="1010"/>
      <c r="M130" s="1021"/>
      <c r="N130" s="1010"/>
      <c r="O130" s="1021"/>
      <c r="P130" s="1010"/>
      <c r="Q130" s="1021"/>
      <c r="R130" s="1010"/>
      <c r="S130" s="1021"/>
      <c r="T130" s="1010"/>
      <c r="U130" s="1021"/>
      <c r="V130" s="1010"/>
      <c r="W130" s="1021"/>
      <c r="X130" s="1010"/>
      <c r="Y130" s="1021"/>
      <c r="Z130" s="1026"/>
      <c r="AA130" s="1011"/>
      <c r="AB130" s="1021"/>
      <c r="AC130" s="1010"/>
      <c r="AD130" s="1012"/>
      <c r="AE130" s="1021"/>
      <c r="AF130" s="1010"/>
      <c r="AG130" s="1010"/>
      <c r="AH130" s="1214"/>
      <c r="AI130" s="435"/>
      <c r="AJ130" s="1857"/>
    </row>
    <row r="131" spans="1:59" ht="16.5" customHeight="1">
      <c r="A131" s="414" t="s">
        <v>47</v>
      </c>
      <c r="B131" s="435"/>
      <c r="C131" s="1022"/>
      <c r="D131" s="1010"/>
      <c r="E131" s="1032"/>
      <c r="F131" s="1033"/>
      <c r="G131" s="1032"/>
      <c r="H131" s="1033"/>
      <c r="I131" s="1032"/>
      <c r="J131" s="1033"/>
      <c r="K131" s="1032"/>
      <c r="L131" s="1033"/>
      <c r="M131" s="1032"/>
      <c r="N131" s="1033"/>
      <c r="O131" s="1032"/>
      <c r="P131" s="1033"/>
      <c r="Q131" s="1032"/>
      <c r="R131" s="1033"/>
      <c r="S131" s="1032"/>
      <c r="T131" s="1033"/>
      <c r="U131" s="1032"/>
      <c r="V131" s="1010"/>
      <c r="W131" s="1032"/>
      <c r="X131" s="1010"/>
      <c r="Y131" s="1022"/>
      <c r="Z131" s="1013"/>
      <c r="AA131" s="1011"/>
      <c r="AB131" s="1022"/>
      <c r="AC131" s="1013"/>
      <c r="AD131" s="1010"/>
      <c r="AE131" s="1022"/>
      <c r="AF131" s="1010"/>
      <c r="AG131" s="1010"/>
      <c r="AH131" s="1214"/>
      <c r="AI131" s="435"/>
      <c r="AJ131" s="1857"/>
    </row>
    <row r="132" spans="1:59" ht="16.5" customHeight="1">
      <c r="A132" s="435" t="s">
        <v>48</v>
      </c>
      <c r="B132" s="435"/>
      <c r="C132" s="1034">
        <v>0</v>
      </c>
      <c r="D132" s="1010"/>
      <c r="E132" s="1034">
        <v>0</v>
      </c>
      <c r="F132" s="1033"/>
      <c r="G132" s="1034">
        <v>0</v>
      </c>
      <c r="H132" s="1033"/>
      <c r="I132" s="1034">
        <v>0</v>
      </c>
      <c r="J132" s="1033"/>
      <c r="K132" s="1034">
        <v>0</v>
      </c>
      <c r="L132" s="1033"/>
      <c r="M132" s="1034">
        <v>0</v>
      </c>
      <c r="N132" s="1033"/>
      <c r="O132" s="1034">
        <v>0</v>
      </c>
      <c r="P132" s="1033"/>
      <c r="Q132" s="1034"/>
      <c r="R132" s="1033"/>
      <c r="S132" s="1034"/>
      <c r="T132" s="1033"/>
      <c r="U132" s="1034"/>
      <c r="V132" s="1010"/>
      <c r="W132" s="1034"/>
      <c r="X132" s="1010"/>
      <c r="Y132" s="711"/>
      <c r="Z132" s="1010"/>
      <c r="AA132" s="1011"/>
      <c r="AB132" s="1010">
        <f>ROUND(SUM(C132:Y132),1)</f>
        <v>0</v>
      </c>
      <c r="AC132" s="1010"/>
      <c r="AD132" s="1012"/>
      <c r="AE132" s="1035">
        <v>0</v>
      </c>
      <c r="AF132" s="1010"/>
      <c r="AG132" s="1010"/>
      <c r="AH132" s="1035">
        <v>0</v>
      </c>
      <c r="AI132" s="1002"/>
      <c r="AJ132" s="2040">
        <f>ROUND(IF(AE132=0,0,AH132/(AE132)),3)</f>
        <v>0</v>
      </c>
    </row>
    <row r="133" spans="1:59" ht="16.5" customHeight="1">
      <c r="A133" s="435" t="s">
        <v>49</v>
      </c>
      <c r="B133" s="435"/>
      <c r="C133" s="1034">
        <f>+'Exh F'!D119+'Exh F'!D120+'Exh F'!D121+'Exh F'!D122+'Exhibit G'!D112+'Exhibit H'!B59+' Exhbit I '!E89</f>
        <v>3186.7000000000003</v>
      </c>
      <c r="D133" s="1010"/>
      <c r="E133" s="1034">
        <f>+'Exh F'!F119+'Exh F'!F120+'Exh F'!F121+'Exh F'!F122+'Exhibit G'!F112+'Exhibit H'!D59+' Exhbit I '!G89</f>
        <v>1552.5</v>
      </c>
      <c r="F133" s="1010"/>
      <c r="G133" s="1034">
        <f>+'Exh F'!H119+'Exh F'!H120+'Exh F'!H121+'Exh F'!H122+'Exhibit G'!H112+'Exhibit H'!F59+' Exhbit I '!I89</f>
        <v>2991.4999999999995</v>
      </c>
      <c r="H133" s="1010"/>
      <c r="I133" s="1034">
        <f>+'Exh F'!J119+'Exh F'!J120+'Exh F'!J121+'Exh F'!J122+'Exhibit G'!J112+'Exhibit H'!H59+' Exhbit I '!K89</f>
        <v>1412.6000000000004</v>
      </c>
      <c r="J133" s="1010"/>
      <c r="K133" s="1034">
        <f>+'Exh F'!L119+'Exh F'!L120+'Exh F'!L121+'Exh F'!L122+'Exhibit G'!L112+'Exhibit H'!J59+' Exhbit I '!M89</f>
        <v>2038.0000000000002</v>
      </c>
      <c r="L133" s="1010"/>
      <c r="M133" s="1034">
        <f>+'Exh F'!N119+'Exh F'!N120+'Exh F'!N121+'Exh F'!N122+'Exhibit G'!N112+'Exhibit H'!L59+' Exhbit I '!O89</f>
        <v>3285.7000000000003</v>
      </c>
      <c r="N133" s="1010"/>
      <c r="O133" s="1034">
        <f>+'Exh F'!P119+'Exh F'!P120+'Exh F'!P121+'Exh F'!P122+'Exhibit G'!P112+'Exhibit H'!N59+' Exhbit I '!Q89</f>
        <v>2014.8999999999999</v>
      </c>
      <c r="P133" s="1010"/>
      <c r="Q133" s="1010"/>
      <c r="R133" s="1010"/>
      <c r="S133" s="1010"/>
      <c r="T133" s="1010"/>
      <c r="U133" s="1022"/>
      <c r="V133" s="1010"/>
      <c r="X133" s="1010"/>
      <c r="Y133" s="1010"/>
      <c r="Z133" s="1010"/>
      <c r="AA133" s="1011"/>
      <c r="AB133" s="1010">
        <f>ROUND(SUM(C133:Y133),1)</f>
        <v>16481.900000000001</v>
      </c>
      <c r="AC133" s="1010"/>
      <c r="AD133" s="1011"/>
      <c r="AE133" s="1010">
        <f>+'Exhibit A'!AD49</f>
        <v>17468.500000000004</v>
      </c>
      <c r="AF133" s="1010"/>
      <c r="AG133" s="1010"/>
      <c r="AH133" s="1010">
        <f>ROUND(SUM(AB133-AE133),1)</f>
        <v>-986.6</v>
      </c>
      <c r="AI133" s="435"/>
      <c r="AJ133" s="2040">
        <f>ROUND(IF(AE133=0,0,AH133/(AE133)),3)</f>
        <v>-5.6000000000000001E-2</v>
      </c>
    </row>
    <row r="134" spans="1:59" ht="16.5" customHeight="1">
      <c r="A134" s="435" t="s">
        <v>51</v>
      </c>
      <c r="C134" s="1155">
        <f>+'Exh F'!D123+'Exh F'!D124+'Exh F'!D125+'Exh F'!D126+'Exhibit G'!D113+'Exhibit H'!B60+' Exhbit I '!E90</f>
        <v>-3248.2999999999997</v>
      </c>
      <c r="D134" s="252"/>
      <c r="E134" s="1155">
        <f>+'Exh F'!F123+'Exh F'!F124+'Exh F'!F125+'Exh F'!F126+'Exhibit G'!F113+'Exhibit H'!D60+' Exhbit I '!G90</f>
        <v>-1554</v>
      </c>
      <c r="F134" s="252"/>
      <c r="G134" s="1155">
        <f>+'Exh F'!H123+'Exh F'!H124+'Exh F'!H125+'Exh F'!H126+'Exhibit G'!H113+'Exhibit H'!F60+' Exhbit I '!I90</f>
        <v>-2996.1000000000004</v>
      </c>
      <c r="H134" s="252"/>
      <c r="I134" s="1155">
        <f>+'Exh F'!J123+'Exh F'!J124+'Exh F'!J125+'Exh F'!J126+'Exhibit G'!J113+'Exhibit H'!H60+' Exhbit I '!K90</f>
        <v>-1420</v>
      </c>
      <c r="J134" s="252"/>
      <c r="K134" s="1155">
        <f>+'Exh F'!L123+'Exh F'!L124+'Exh F'!L125+'Exh F'!L126+'Exhibit G'!L113+'Exhibit H'!J60+' Exhbit I '!M90</f>
        <v>-2055.5</v>
      </c>
      <c r="L134" s="252"/>
      <c r="M134" s="1155">
        <f>+'Exh F'!N123+'Exh F'!N124+'Exh F'!N125+'Exh F'!N126+'Exhibit G'!N113+'Exhibit H'!L60+' Exhbit I '!O90</f>
        <v>-3289</v>
      </c>
      <c r="N134" s="252"/>
      <c r="O134" s="1155">
        <f>+'Exh F'!P123+'Exh F'!P124+'Exh F'!P125+'Exh F'!P126+'Exhibit G'!P113+'Exhibit H'!N60+' Exhbit I '!Q90</f>
        <v>-2026</v>
      </c>
      <c r="P134" s="252"/>
      <c r="Q134" s="1014"/>
      <c r="R134" s="252"/>
      <c r="S134" s="1014"/>
      <c r="T134" s="252"/>
      <c r="U134" s="1014"/>
      <c r="V134" s="252"/>
      <c r="W134" s="1371"/>
      <c r="X134" s="252"/>
      <c r="Y134" s="1014"/>
      <c r="Z134" s="252"/>
      <c r="AA134" s="1036"/>
      <c r="AB134" s="1014">
        <f>ROUND(SUM(C134:Y134),1)</f>
        <v>-16588.900000000001</v>
      </c>
      <c r="AC134" s="252"/>
      <c r="AD134" s="1036"/>
      <c r="AE134" s="1014">
        <f>+'Exhibit A'!AD50</f>
        <v>-17506.900000000001</v>
      </c>
      <c r="AF134" s="252"/>
      <c r="AG134" s="252"/>
      <c r="AH134" s="1014">
        <f>ROUND(SUM(-AB134+AE134),1)</f>
        <v>-918</v>
      </c>
      <c r="AI134" s="1857"/>
      <c r="AJ134" s="2916">
        <f>-ROUND(IF(AE134=0,0,AH134/(AE134)),3)</f>
        <v>-5.1999999999999998E-2</v>
      </c>
    </row>
    <row r="135" spans="1:59" ht="16.5" customHeight="1">
      <c r="A135" s="435"/>
      <c r="C135" s="1022"/>
      <c r="D135" s="252"/>
      <c r="E135" s="1022"/>
      <c r="F135" s="252"/>
      <c r="G135" s="1022"/>
      <c r="H135" s="252"/>
      <c r="I135" s="1022"/>
      <c r="J135" s="252"/>
      <c r="K135" s="1022"/>
      <c r="L135" s="252"/>
      <c r="M135" s="1022"/>
      <c r="N135" s="252"/>
      <c r="O135" s="1022"/>
      <c r="P135" s="252"/>
      <c r="Q135" s="1022"/>
      <c r="R135" s="252"/>
      <c r="S135" s="1022"/>
      <c r="T135" s="252"/>
      <c r="U135" s="1022"/>
      <c r="V135" s="252"/>
      <c r="W135" s="1022"/>
      <c r="X135" s="252"/>
      <c r="Y135" s="1022"/>
      <c r="Z135" s="252"/>
      <c r="AA135" s="1036"/>
      <c r="AB135" s="1022"/>
      <c r="AC135" s="252"/>
      <c r="AD135" s="1036"/>
      <c r="AE135" s="1022"/>
      <c r="AF135" s="252"/>
      <c r="AG135" s="252"/>
      <c r="AH135" s="1022"/>
      <c r="AI135" s="1857"/>
      <c r="AJ135" s="1311"/>
    </row>
    <row r="136" spans="1:59" ht="16.5" customHeight="1">
      <c r="A136" s="414" t="s">
        <v>52</v>
      </c>
      <c r="C136" s="1017">
        <f>ROUND(SUM(C132:C134),1)</f>
        <v>-61.6</v>
      </c>
      <c r="D136" s="1037"/>
      <c r="E136" s="1017">
        <f>ROUND(SUM(E132:E134),1)</f>
        <v>-1.5</v>
      </c>
      <c r="F136" s="1037"/>
      <c r="G136" s="1017">
        <f>ROUND(SUM(G132:G134),1)</f>
        <v>-4.5999999999999996</v>
      </c>
      <c r="H136" s="1037"/>
      <c r="I136" s="1017">
        <f>ROUND(SUM(I132:I134),1)</f>
        <v>-7.4</v>
      </c>
      <c r="J136" s="1037"/>
      <c r="K136" s="1017">
        <f>ROUND(SUM(K132:K134),1)</f>
        <v>-17.5</v>
      </c>
      <c r="L136" s="1037"/>
      <c r="M136" s="1017">
        <f>ROUND(SUM(M132:M134),1)</f>
        <v>-3.3</v>
      </c>
      <c r="N136" s="1037"/>
      <c r="O136" s="1017">
        <f>ROUND(SUM(O132:O134),1)</f>
        <v>-11.1</v>
      </c>
      <c r="P136" s="1037"/>
      <c r="Q136" s="1017">
        <f>ROUND(SUM(Q132:Q134),1)</f>
        <v>0</v>
      </c>
      <c r="R136" s="1037"/>
      <c r="S136" s="1017">
        <f>ROUND(SUM(S132:S134),1)</f>
        <v>0</v>
      </c>
      <c r="T136" s="1037"/>
      <c r="U136" s="1017">
        <f>ROUND(SUM(U132:U134),1)</f>
        <v>0</v>
      </c>
      <c r="V136" s="1037"/>
      <c r="W136" s="1017">
        <f>ROUND(SUM(W132:W134),1)</f>
        <v>0</v>
      </c>
      <c r="X136" s="1037"/>
      <c r="Y136" s="1017">
        <f>ROUND(SUM(Y132:Y134),1)</f>
        <v>0</v>
      </c>
      <c r="Z136" s="1037"/>
      <c r="AA136" s="1038"/>
      <c r="AB136" s="1017">
        <f>ROUND(SUM(AB132:AB135),1)</f>
        <v>-107</v>
      </c>
      <c r="AC136" s="1037"/>
      <c r="AD136" s="1038"/>
      <c r="AE136" s="1017">
        <f>SUM(AE132:AE135)</f>
        <v>-38.399999999997817</v>
      </c>
      <c r="AF136" s="1037"/>
      <c r="AG136" s="1037"/>
      <c r="AH136" s="1017">
        <f>ROUND(SUM(+AH133-AH134),1)</f>
        <v>-68.599999999999994</v>
      </c>
      <c r="AI136" s="414"/>
      <c r="AJ136" s="2230">
        <f>ROUND(IF(AE136=0,0,-AH136/(AE136)),3)</f>
        <v>-1.786</v>
      </c>
      <c r="AK136" s="810"/>
      <c r="AL136" s="810"/>
    </row>
    <row r="137" spans="1:59" ht="16.5" customHeight="1">
      <c r="A137" s="37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1036"/>
      <c r="AB137" s="252"/>
      <c r="AC137" s="252"/>
      <c r="AD137" s="1036"/>
      <c r="AE137" s="252"/>
      <c r="AF137" s="252"/>
      <c r="AG137" s="252"/>
      <c r="AH137" s="1214"/>
      <c r="AI137" s="1857"/>
      <c r="AJ137" s="1857"/>
    </row>
    <row r="138" spans="1:59" ht="16.5" customHeight="1">
      <c r="A138" s="484" t="s">
        <v>45</v>
      </c>
      <c r="C138" s="1022"/>
      <c r="D138" s="252"/>
      <c r="E138" s="1022"/>
      <c r="F138" s="252"/>
      <c r="G138" s="1022"/>
      <c r="H138" s="252"/>
      <c r="I138" s="1022"/>
      <c r="J138" s="252"/>
      <c r="K138" s="1022"/>
      <c r="L138" s="252"/>
      <c r="M138" s="1022"/>
      <c r="N138" s="252"/>
      <c r="O138" s="1022"/>
      <c r="P138" s="252"/>
      <c r="Q138" s="1022"/>
      <c r="R138" s="252"/>
      <c r="S138" s="1022"/>
      <c r="T138" s="252"/>
      <c r="U138" s="1022"/>
      <c r="V138" s="252"/>
      <c r="W138" s="1022"/>
      <c r="X138" s="252"/>
      <c r="Y138" s="1022"/>
      <c r="Z138" s="252"/>
      <c r="AA138" s="1036"/>
      <c r="AB138" s="1022"/>
      <c r="AC138" s="252"/>
      <c r="AD138" s="1036"/>
      <c r="AE138" s="1022"/>
      <c r="AF138" s="252"/>
      <c r="AG138" s="252"/>
      <c r="AH138" s="1214"/>
      <c r="AI138" s="1857"/>
      <c r="AJ138" s="1857"/>
    </row>
    <row r="139" spans="1:59" ht="16.5" customHeight="1">
      <c r="A139" s="484" t="s">
        <v>53</v>
      </c>
      <c r="C139" s="1018"/>
      <c r="D139" s="1037"/>
      <c r="E139" s="1018"/>
      <c r="F139" s="1037"/>
      <c r="G139" s="1018"/>
      <c r="H139" s="1037"/>
      <c r="I139" s="1018"/>
      <c r="J139" s="1037"/>
      <c r="K139" s="1018"/>
      <c r="L139" s="1037"/>
      <c r="M139" s="1018"/>
      <c r="N139" s="1037"/>
      <c r="O139" s="1018"/>
      <c r="P139" s="1037"/>
      <c r="Q139" s="1018"/>
      <c r="R139" s="1037"/>
      <c r="S139" s="1018"/>
      <c r="T139" s="1037"/>
      <c r="U139" s="1018"/>
      <c r="V139" s="1037"/>
      <c r="W139" s="1018"/>
      <c r="X139" s="1037"/>
      <c r="Y139" s="1018"/>
      <c r="Z139" s="1037"/>
      <c r="AA139" s="1038"/>
      <c r="AB139" s="1018"/>
      <c r="AC139" s="1037"/>
      <c r="AD139" s="1038"/>
      <c r="AE139" s="1018"/>
      <c r="AF139" s="1037"/>
      <c r="AG139" s="1037"/>
      <c r="AH139" s="2154"/>
      <c r="AI139" s="414"/>
      <c r="AJ139" s="414"/>
      <c r="AK139" s="810"/>
      <c r="AL139" s="810"/>
      <c r="AM139" s="810"/>
      <c r="AN139" s="810"/>
      <c r="AO139" s="810"/>
      <c r="AP139" s="810"/>
      <c r="AQ139" s="810"/>
      <c r="AR139" s="810"/>
      <c r="AS139" s="810"/>
      <c r="AT139" s="810"/>
      <c r="AU139" s="810"/>
      <c r="AV139" s="810"/>
      <c r="AW139" s="810"/>
      <c r="AX139" s="810"/>
      <c r="AY139" s="810"/>
      <c r="AZ139" s="810"/>
      <c r="BA139" s="810"/>
      <c r="BB139" s="810"/>
      <c r="BC139" s="810"/>
      <c r="BD139" s="810"/>
      <c r="BE139" s="810"/>
      <c r="BF139" s="810"/>
      <c r="BG139" s="810"/>
    </row>
    <row r="140" spans="1:59" ht="16.5" customHeight="1">
      <c r="A140" s="484" t="s">
        <v>54</v>
      </c>
      <c r="C140" s="1039">
        <f>ROUND(SUM(C129+C136),1)</f>
        <v>3540.1</v>
      </c>
      <c r="D140" s="1037"/>
      <c r="E140" s="1039">
        <f>ROUND(SUM(E129+E136),1)</f>
        <v>-460.5</v>
      </c>
      <c r="F140" s="1037"/>
      <c r="G140" s="1039">
        <f>ROUND(SUM(G129+G136),1)</f>
        <v>625.1</v>
      </c>
      <c r="H140" s="1037"/>
      <c r="I140" s="1039">
        <f>ROUND(SUM(I129+I136),1)</f>
        <v>2109.1</v>
      </c>
      <c r="J140" s="1037"/>
      <c r="K140" s="1039">
        <f>ROUND(SUM(K129+K136),1)</f>
        <v>-180.3</v>
      </c>
      <c r="L140" s="1037"/>
      <c r="M140" s="1039">
        <f>ROUND(SUM(M129+M136),1)</f>
        <v>-453.4</v>
      </c>
      <c r="N140" s="1037"/>
      <c r="O140" s="1039">
        <f>ROUND(SUM(O129+O136),1)</f>
        <v>-89.2</v>
      </c>
      <c r="P140" s="1037"/>
      <c r="Q140" s="1039">
        <f>ROUND(SUM(Q129+Q136),1)</f>
        <v>0</v>
      </c>
      <c r="R140" s="1037"/>
      <c r="S140" s="1039">
        <f>ROUND(SUM(S129+S136),1)</f>
        <v>0</v>
      </c>
      <c r="T140" s="1037"/>
      <c r="U140" s="1039">
        <f>ROUND(SUM(U129+U136),1)</f>
        <v>0</v>
      </c>
      <c r="V140" s="1037"/>
      <c r="W140" s="1039">
        <f>ROUND(SUM(W129+W136),1)</f>
        <v>0</v>
      </c>
      <c r="X140" s="1037"/>
      <c r="Y140" s="1039">
        <f>ROUND(SUM(Y129+Y136),1)</f>
        <v>0</v>
      </c>
      <c r="Z140" s="1037"/>
      <c r="AA140" s="1038"/>
      <c r="AB140" s="1039">
        <f>ROUND(SUM(AB129+AB136),1)</f>
        <v>5090.8999999999996</v>
      </c>
      <c r="AC140" s="1037"/>
      <c r="AD140" s="1038"/>
      <c r="AE140" s="1039">
        <f>AE129+AE136</f>
        <v>4019.7000000000021</v>
      </c>
      <c r="AF140" s="1037"/>
      <c r="AG140" s="1037"/>
      <c r="AH140" s="1031">
        <f>ROUND(SUM(AB140-AE140),1)</f>
        <v>1071.2</v>
      </c>
      <c r="AI140" s="414"/>
      <c r="AJ140" s="2230">
        <f>ROUND(IF(AE140=0,0,AH140/(AE140)),3)</f>
        <v>0.26600000000000001</v>
      </c>
      <c r="AK140" s="810"/>
      <c r="AL140" s="810"/>
      <c r="AM140" s="810"/>
      <c r="AN140" s="810"/>
      <c r="AO140" s="810"/>
      <c r="AP140" s="810"/>
      <c r="AQ140" s="810"/>
      <c r="AR140" s="810"/>
      <c r="AS140" s="810"/>
      <c r="AT140" s="810"/>
      <c r="AU140" s="810"/>
      <c r="AV140" s="810"/>
      <c r="AW140" s="810"/>
      <c r="AX140" s="810"/>
      <c r="AY140" s="810"/>
      <c r="AZ140" s="810"/>
      <c r="BA140" s="810"/>
      <c r="BB140" s="810"/>
      <c r="BC140" s="810"/>
      <c r="BD140" s="810"/>
      <c r="BE140" s="810"/>
      <c r="BF140" s="810"/>
      <c r="BG140" s="810"/>
    </row>
    <row r="141" spans="1:59" ht="16.5" customHeight="1">
      <c r="A141" s="414"/>
      <c r="C141" s="1003"/>
      <c r="E141" s="1003"/>
      <c r="G141" s="1003"/>
      <c r="I141" s="1003"/>
      <c r="K141" s="1003"/>
      <c r="M141" s="1003"/>
      <c r="O141" s="1003"/>
      <c r="Q141" s="1003"/>
      <c r="S141" s="1003"/>
      <c r="U141" s="1003"/>
      <c r="W141" s="1003"/>
      <c r="Y141" s="1003"/>
      <c r="AA141" s="1040"/>
      <c r="AB141" s="1003"/>
      <c r="AD141" s="1040"/>
      <c r="AE141" s="1003"/>
      <c r="AH141" s="1857"/>
      <c r="AI141" s="1857"/>
      <c r="AJ141" s="1857"/>
    </row>
    <row r="142" spans="1:59" ht="16.5" customHeight="1" thickBot="1">
      <c r="A142" s="1041" t="s">
        <v>148</v>
      </c>
      <c r="C142" s="1042">
        <f>ROUND(SUM(C16+C140),1)</f>
        <v>7574.6</v>
      </c>
      <c r="D142" s="477"/>
      <c r="E142" s="1042">
        <f>ROUND(SUM(E16+E140),1)</f>
        <v>7114.1</v>
      </c>
      <c r="F142" s="477"/>
      <c r="G142" s="1042">
        <f>ROUND(SUM(G16+G140),1)</f>
        <v>7739.2</v>
      </c>
      <c r="H142" s="477"/>
      <c r="I142" s="1042">
        <f>ROUND(SUM(I16+I140),1)</f>
        <v>9848.2999999999993</v>
      </c>
      <c r="J142" s="1043"/>
      <c r="K142" s="1042">
        <f>ROUND(SUM(K16+K140),1)</f>
        <v>9668</v>
      </c>
      <c r="L142" s="1043"/>
      <c r="M142" s="1042">
        <f>ROUND(SUM(M16+M140),1)</f>
        <v>9214.6</v>
      </c>
      <c r="N142" s="1043"/>
      <c r="O142" s="1042">
        <f>ROUND(SUM(O16+O140),1)</f>
        <v>9125.4</v>
      </c>
      <c r="P142" s="1043"/>
      <c r="Q142" s="1042">
        <f>ROUND(SUM(Q16+Q140),1)</f>
        <v>0</v>
      </c>
      <c r="R142" s="1043"/>
      <c r="S142" s="1042">
        <f>ROUND(SUM(S16+S140),1)</f>
        <v>0</v>
      </c>
      <c r="T142" s="1043"/>
      <c r="U142" s="1042">
        <f>ROUND(SUM(U16+U140),1)</f>
        <v>0</v>
      </c>
      <c r="V142" s="1043"/>
      <c r="W142" s="1042">
        <f>ROUND(SUM(W16+W140),1)</f>
        <v>0</v>
      </c>
      <c r="X142" s="1043"/>
      <c r="Y142" s="1042">
        <f>ROUND(SUM(Y16+Y140),1)</f>
        <v>0</v>
      </c>
      <c r="Z142" s="477"/>
      <c r="AA142" s="1044"/>
      <c r="AB142" s="1042">
        <f>ROUND(SUM(AB16+AB140),1)</f>
        <v>9125.4</v>
      </c>
      <c r="AC142" s="477"/>
      <c r="AD142" s="1044"/>
      <c r="AE142" s="1042">
        <f>AE16+AE140</f>
        <v>7896.1000000000022</v>
      </c>
      <c r="AF142" s="477"/>
      <c r="AG142" s="477"/>
      <c r="AH142" s="1042">
        <f>ROUND(SUM(AB142-AE142),1)</f>
        <v>1229.3</v>
      </c>
      <c r="AI142" s="414"/>
      <c r="AJ142" s="130">
        <f>ROUND(IF(AE142=0,0,AH142/(AE142)),3)</f>
        <v>0.156</v>
      </c>
      <c r="AK142" s="810"/>
    </row>
    <row r="143" spans="1:59" ht="16.5" customHeight="1" thickTop="1">
      <c r="A143" s="1045"/>
      <c r="C143" s="423"/>
      <c r="AH143" s="1857"/>
      <c r="AI143" s="1857"/>
      <c r="AJ143" s="1857"/>
    </row>
    <row r="144" spans="1:59" ht="16.5" customHeight="1">
      <c r="A144" s="697" t="s">
        <v>149</v>
      </c>
      <c r="AH144" s="1857"/>
      <c r="AI144" s="1857"/>
      <c r="AJ144" s="1857"/>
    </row>
    <row r="145" spans="1:36" ht="16.5" customHeight="1">
      <c r="A145" s="226"/>
      <c r="AH145" s="1857"/>
      <c r="AI145" s="1857"/>
      <c r="AJ145" s="1857"/>
    </row>
    <row r="146" spans="1:36" ht="16.5" customHeight="1">
      <c r="A146" s="226"/>
      <c r="AH146" s="1857"/>
      <c r="AI146" s="1857"/>
      <c r="AJ146" s="1857"/>
    </row>
    <row r="147" spans="1:36" ht="16.5" customHeight="1">
      <c r="A147" s="226"/>
      <c r="AH147" s="1857"/>
      <c r="AI147" s="1857"/>
      <c r="AJ147" s="1857"/>
    </row>
    <row r="148" spans="1:36" ht="16.5" customHeight="1">
      <c r="AH148" s="1857"/>
      <c r="AI148" s="1857"/>
      <c r="AJ148" s="1857"/>
    </row>
    <row r="149" spans="1:36" ht="16.5" customHeight="1">
      <c r="AH149" s="1857"/>
      <c r="AI149" s="1857"/>
      <c r="AJ149" s="1857"/>
    </row>
    <row r="150" spans="1:36" ht="16.5" customHeight="1">
      <c r="AH150" s="1857"/>
      <c r="AI150" s="1857"/>
      <c r="AJ150" s="1857"/>
    </row>
    <row r="151" spans="1:36" ht="16.5" customHeight="1">
      <c r="AH151" s="1857"/>
      <c r="AI151" s="1857"/>
      <c r="AJ151" s="1857"/>
    </row>
    <row r="152" spans="1:36" ht="16.5" customHeight="1">
      <c r="AH152" s="1857"/>
      <c r="AI152" s="1857"/>
      <c r="AJ152" s="1857"/>
    </row>
    <row r="153" spans="1:36" ht="16.5" customHeight="1">
      <c r="AH153" s="1857"/>
      <c r="AI153" s="1857"/>
      <c r="AJ153" s="1857"/>
    </row>
    <row r="154" spans="1:36" ht="16.5" customHeight="1">
      <c r="AH154" s="1857"/>
      <c r="AI154" s="1857"/>
      <c r="AJ154" s="1857"/>
    </row>
    <row r="155" spans="1:36" ht="16.5" customHeight="1">
      <c r="AH155" s="1857"/>
      <c r="AI155" s="1857"/>
      <c r="AJ155" s="1857"/>
    </row>
    <row r="156" spans="1:36" ht="16.5" customHeight="1">
      <c r="AH156" s="1857"/>
      <c r="AI156" s="1857"/>
      <c r="AJ156" s="1857"/>
    </row>
  </sheetData>
  <customSheetViews>
    <customSheetView guid="{BD09DBC2-63A5-4D9C-9B00-4281066E9389}" scale="60" showGridLines="0" outlineSymbols="0" printArea="1">
      <selection activeCell="E106" sqref="E106"/>
      <pageMargins left="0.25" right="0" top="0.5" bottom="0.4" header="0" footer="0.25"/>
      <pageSetup scale="40" firstPageNumber="16" orientation="landscape" useFirstPageNumber="1" r:id="rId1"/>
      <headerFooter alignWithMargins="0">
        <oddFooter>&amp;C&amp;P</oddFooter>
      </headerFooter>
    </customSheetView>
    <customSheetView guid="{C82E0A7D-2B5B-48FC-A705-3168E651E04C}" scale="75" showGridLines="0" outlineSymbols="0" fitToPage="1" printArea="1">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2"/>
      <headerFooter scaleWithDoc="0" alignWithMargins="0">
        <oddFooter>&amp;C&amp;8 &amp;P</oddFooter>
      </headerFooter>
    </customSheetView>
    <customSheetView guid="{A8B05C3B-0E7E-44A3-A097-AF4C5C09F04E}" scale="75" showGridLines="0" outlineSymbols="0" fitToPage="1" printArea="1" topLeftCell="U1">
      <selection activeCell="K30" sqref="K30"/>
      <rowBreaks count="1" manualBreakCount="1">
        <brk id="104" max="35" man="1"/>
      </rowBreaks>
      <pageMargins left="0.25" right="0" top="0.5" bottom="0.4" header="0" footer="0.25"/>
      <printOptions horizontalCentered="1"/>
      <pageSetup scale="40" firstPageNumber="16" fitToHeight="2" orientation="landscape" useFirstPageNumber="1" r:id="rId3"/>
      <headerFooter scaleWithDoc="0" alignWithMargins="0">
        <oddFooter>&amp;C&amp;8 &amp;P</oddFooter>
      </headerFooter>
    </customSheetView>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4"/>
      <headerFooter scaleWithDoc="0" alignWithMargins="0">
        <oddFooter>&amp;C&amp;8 &amp;P</oddFooter>
      </headerFooter>
    </customSheetView>
    <customSheetView guid="{4735AAE3-27B4-4549-AAB4-50ACA997F5F5}" scale="75" showGridLines="0" outlineSymbols="0" fitToPage="1" printArea="1" topLeftCell="A4">
      <pane xSplit="2" ySplit="11" topLeftCell="C60" activePane="bottomRight" state="frozen"/>
      <selection pane="bottomRight" activeCell="C76" sqref="C76"/>
      <rowBreaks count="1" manualBreakCount="1">
        <brk id="104" max="35" man="1"/>
      </rowBreaks>
      <pageMargins left="0.25" right="0" top="0.5" bottom="0.4" header="0" footer="0.25"/>
      <printOptions horizontalCentered="1"/>
      <pageSetup scale="40" firstPageNumber="16" fitToHeight="2" orientation="landscape" useFirstPageNumber="1" r:id="rId5"/>
      <headerFooter scaleWithDoc="0" alignWithMargins="0">
        <oddFooter>&amp;C&amp;8 &amp;P</oddFooter>
      </headerFooter>
    </customSheetView>
    <customSheetView guid="{80622567-647A-4891-B8EE-6B9E2C4DAC44}" scale="85" showGridLines="0" outlineSymbols="0" fitToPage="1" printArea="1" topLeftCell="D112">
      <selection activeCell="M133" sqref="M133"/>
      <rowBreaks count="1" manualBreakCount="1">
        <brk id="104" max="35" man="1"/>
      </rowBreaks>
      <pageMargins left="0.25" right="0" top="0.5" bottom="0.4" header="0" footer="0.25"/>
      <printOptions horizontalCentered="1"/>
      <pageSetup scale="39" firstPageNumber="16" fitToHeight="2" orientation="landscape" useFirstPageNumber="1" r:id="rId6"/>
      <headerFooter scaleWithDoc="0" alignWithMargins="0">
        <oddFooter>&amp;C&amp;8 &amp;P</oddFooter>
      </headerFooter>
    </customSheetView>
    <customSheetView guid="{A97EE6C3-4DA8-41BD-BE43-F596EFCB43CA}" scale="75" showGridLines="0" outlineSymbols="0" fitToPage="1" printArea="1">
      <selection activeCell="U13" sqref="U13"/>
      <rowBreaks count="1" manualBreakCount="1">
        <brk id="104" max="35" man="1"/>
      </rowBreaks>
      <pageMargins left="0.25" right="0" top="0.5" bottom="0.4" header="0" footer="0.25"/>
      <printOptions horizontalCentered="1"/>
      <pageSetup scale="40" firstPageNumber="16" fitToHeight="2" orientation="landscape" useFirstPageNumber="1" r:id="rId7"/>
      <headerFooter scaleWithDoc="0" alignWithMargins="0">
        <oddFooter>&amp;C&amp;8 &amp;P</oddFooter>
      </headerFooter>
    </customSheetView>
    <customSheetView guid="{90B76C5A-2FC4-40F0-8436-3E4F075A4887}" scale="70" showGridLines="0" outlineSymbols="0" fitToPage="1" printArea="1" topLeftCell="J13">
      <selection activeCell="O41" sqref="O41"/>
      <rowBreaks count="1" manualBreakCount="1">
        <brk id="104" max="35" man="1"/>
      </rowBreaks>
      <pageMargins left="0.25" right="0" top="0.5" bottom="0.4" header="0" footer="0.25"/>
      <printOptions horizontalCentered="1"/>
      <pageSetup scale="39" firstPageNumber="16" fitToHeight="2" orientation="landscape" useFirstPageNumber="1" r:id="rId8"/>
      <headerFooter scaleWithDoc="0" alignWithMargins="0">
        <oddFooter>&amp;C&amp;8 &amp;P</oddFooter>
      </headerFooter>
    </customSheetView>
  </customSheetViews>
  <mergeCells count="2">
    <mergeCell ref="AC5:AJ5"/>
    <mergeCell ref="AB12:AJ12"/>
  </mergeCells>
  <pageMargins left="0.25" right="0" top="0.5" bottom="0.4" header="0" footer="0.25"/>
  <pageSetup scale="40" firstPageNumber="16" orientation="landscape" useFirstPageNumber="1" r:id="rId9"/>
  <headerFooter scaleWithDoc="0" alignWithMargins="0">
    <oddFooter>&amp;C&amp;8&amp;P</oddFooter>
  </headerFooter>
  <ignoredErrors>
    <ignoredError sqref="C13 U13" numberStoredAsText="1"/>
    <ignoredError sqref="AJ21:AJ23 AJ135:AJ142 AJ30:AJ47 AJ49:AJ116 AJ117:AJ134" unlockedFormula="1"/>
    <ignoredError sqref="AJ25:AJ28" formula="1" unlockedFormula="1"/>
    <ignoredError sqref="AH24:AJ24 AH29:AJ29 AH25:AI28" formula="1"/>
  </ignoredErrors>
  <drawing r:id="rId10"/>
</worksheet>
</file>

<file path=xl/worksheets/sheet17.xml><?xml version="1.0" encoding="utf-8"?>
<worksheet xmlns="http://schemas.openxmlformats.org/spreadsheetml/2006/main" xmlns:r="http://schemas.openxmlformats.org/officeDocument/2006/relationships">
  <dimension ref="A1:BG159"/>
  <sheetViews>
    <sheetView showGridLines="0" zoomScale="70" zoomScaleNormal="70" workbookViewId="0"/>
  </sheetViews>
  <sheetFormatPr defaultColWidth="8.88671875" defaultRowHeight="16.5" customHeight="1"/>
  <cols>
    <col min="1" max="1" width="40.21875" style="424" customWidth="1"/>
    <col min="2" max="2" width="1.6640625" style="424" customWidth="1"/>
    <col min="3" max="3" width="12.5546875" style="424" customWidth="1"/>
    <col min="4" max="4" width="1.6640625" style="424" customWidth="1"/>
    <col min="5" max="5" width="12.33203125" style="424" bestFit="1" customWidth="1"/>
    <col min="6" max="6" width="1.6640625" style="424" customWidth="1"/>
    <col min="7" max="7" width="12.44140625" style="424" customWidth="1"/>
    <col min="8" max="8" width="1.6640625" style="424" customWidth="1"/>
    <col min="9" max="9" width="13.6640625" style="424" customWidth="1"/>
    <col min="10" max="10" width="1.6640625" style="424" customWidth="1"/>
    <col min="11" max="11" width="14.5546875" style="424" customWidth="1"/>
    <col min="12" max="12" width="1.6640625" style="424" customWidth="1"/>
    <col min="13" max="13" width="13.33203125" style="424" customWidth="1"/>
    <col min="14" max="14" width="1.6640625" style="424" customWidth="1"/>
    <col min="15" max="15" width="11.77734375" style="424" customWidth="1"/>
    <col min="16" max="16" width="1.6640625" style="424" customWidth="1"/>
    <col min="17" max="17" width="11.77734375" style="424" customWidth="1"/>
    <col min="18" max="18" width="1.6640625" style="424" customWidth="1"/>
    <col min="19" max="19" width="12.44140625" style="424" customWidth="1"/>
    <col min="20" max="20" width="1.6640625" style="424" customWidth="1"/>
    <col min="21" max="21" width="13" style="424" customWidth="1"/>
    <col min="22" max="22" width="1.6640625" style="424" customWidth="1"/>
    <col min="23" max="23" width="12.33203125" style="424" customWidth="1"/>
    <col min="24" max="24" width="1.6640625" style="424" customWidth="1"/>
    <col min="25" max="25" width="11.5546875" style="424" bestFit="1" customWidth="1"/>
    <col min="26" max="27" width="1.6640625" style="424" customWidth="1"/>
    <col min="28" max="28" width="15" style="424" customWidth="1"/>
    <col min="29" max="30" width="1.6640625" style="424" customWidth="1"/>
    <col min="31" max="31" width="13" style="424" customWidth="1"/>
    <col min="32" max="32" width="0.21875" style="424" customWidth="1"/>
    <col min="33" max="33" width="1.6640625" style="424" customWidth="1"/>
    <col min="34" max="34" width="12.77734375" style="424" bestFit="1" customWidth="1"/>
    <col min="35" max="35" width="1" style="424" customWidth="1"/>
    <col min="36" max="36" width="12.33203125" style="424" bestFit="1" customWidth="1"/>
    <col min="37" max="16384" width="8.88671875" style="424"/>
  </cols>
  <sheetData>
    <row r="1" spans="1:37" ht="15">
      <c r="A1" s="2170" t="s">
        <v>1322</v>
      </c>
    </row>
    <row r="2" spans="1:37" ht="15">
      <c r="A2" s="1874"/>
    </row>
    <row r="3" spans="1:37" ht="23.25">
      <c r="A3" s="432" t="s">
        <v>0</v>
      </c>
      <c r="B3" s="435"/>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I3" s="435"/>
    </row>
    <row r="4" spans="1:37" ht="23.25">
      <c r="A4" s="432" t="s">
        <v>1607</v>
      </c>
      <c r="B4" s="435"/>
      <c r="C4" s="435"/>
      <c r="D4" s="435"/>
      <c r="E4" s="435"/>
      <c r="F4" s="435"/>
      <c r="G4" s="435"/>
      <c r="H4" s="435"/>
      <c r="I4" s="435" t="s">
        <v>16</v>
      </c>
      <c r="J4" s="435"/>
      <c r="K4" s="435"/>
      <c r="L4" s="435"/>
      <c r="M4" s="435"/>
      <c r="N4" s="435"/>
      <c r="O4" s="435"/>
      <c r="P4" s="435"/>
      <c r="Q4" s="435"/>
      <c r="R4" s="435"/>
      <c r="S4" s="435"/>
      <c r="T4" s="435"/>
      <c r="U4" s="435"/>
      <c r="V4" s="435"/>
      <c r="W4" s="435"/>
      <c r="X4" s="435"/>
      <c r="Y4" s="435" t="s">
        <v>16</v>
      </c>
      <c r="Z4" s="435"/>
      <c r="AA4" s="435"/>
      <c r="AB4" s="435"/>
      <c r="AC4" s="435"/>
      <c r="AD4" s="435"/>
      <c r="AE4" s="435"/>
      <c r="AF4" s="435"/>
      <c r="AG4" s="435"/>
      <c r="AI4" s="435"/>
    </row>
    <row r="5" spans="1:37" ht="23.25">
      <c r="A5" s="434" t="s">
        <v>1608</v>
      </c>
      <c r="B5" s="435"/>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C5" s="3356"/>
      <c r="AD5" s="3359"/>
      <c r="AE5" s="3359"/>
      <c r="AF5" s="3359"/>
      <c r="AG5" s="3359"/>
      <c r="AH5" s="3359"/>
      <c r="AI5" s="3359"/>
      <c r="AJ5" s="3359"/>
    </row>
    <row r="6" spans="1:37" ht="23.25">
      <c r="A6" s="434" t="s">
        <v>1175</v>
      </c>
      <c r="B6" s="435"/>
      <c r="C6" s="435"/>
      <c r="D6" s="435"/>
      <c r="E6" s="435"/>
      <c r="F6" s="435"/>
      <c r="G6" s="435"/>
      <c r="H6" s="435"/>
      <c r="I6" s="435"/>
      <c r="J6" s="435"/>
      <c r="K6" s="435"/>
      <c r="L6" s="435"/>
      <c r="M6" s="435"/>
      <c r="N6" s="435"/>
      <c r="O6" s="435"/>
      <c r="P6" s="435"/>
      <c r="Q6" s="435"/>
      <c r="R6" s="435"/>
      <c r="S6" s="435"/>
      <c r="T6" s="435"/>
      <c r="U6" s="435"/>
      <c r="V6" s="435"/>
      <c r="W6" s="435"/>
      <c r="X6" s="435"/>
      <c r="Y6" s="435"/>
      <c r="Z6" s="435"/>
      <c r="AA6" s="435"/>
      <c r="AB6" s="435"/>
      <c r="AC6" s="435"/>
      <c r="AD6" s="435"/>
      <c r="AE6" s="435"/>
      <c r="AF6" s="435"/>
      <c r="AG6" s="435"/>
      <c r="AI6" s="435"/>
    </row>
    <row r="7" spans="1:37" ht="23.25">
      <c r="A7" s="432" t="s">
        <v>1198</v>
      </c>
      <c r="B7" s="435"/>
      <c r="C7" s="435"/>
      <c r="D7" s="435"/>
      <c r="E7" s="435"/>
      <c r="F7" s="435"/>
      <c r="G7" s="435"/>
      <c r="H7" s="435"/>
      <c r="I7" s="435"/>
      <c r="J7" s="435"/>
      <c r="K7" s="435"/>
      <c r="L7" s="435"/>
      <c r="M7" s="435"/>
      <c r="N7" s="435"/>
      <c r="O7" s="435"/>
      <c r="P7" s="435"/>
      <c r="Q7" s="435"/>
      <c r="R7" s="435"/>
      <c r="S7" s="435"/>
      <c r="T7" s="435"/>
      <c r="U7" s="435"/>
      <c r="V7" s="435"/>
      <c r="W7" s="435"/>
      <c r="X7" s="435"/>
      <c r="Y7" s="435"/>
      <c r="Z7" s="435"/>
      <c r="AA7" s="435"/>
      <c r="AB7" s="435"/>
      <c r="AC7" s="435"/>
      <c r="AD7" s="435"/>
      <c r="AE7" s="435"/>
      <c r="AF7" s="435"/>
      <c r="AG7" s="435"/>
      <c r="AI7" s="435"/>
    </row>
    <row r="8" spans="1:37" ht="15">
      <c r="A8" s="435"/>
      <c r="B8" s="435"/>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435"/>
      <c r="AG8" s="435"/>
      <c r="AI8" s="435"/>
    </row>
    <row r="9" spans="1:37" ht="15">
      <c r="A9" s="435"/>
      <c r="B9" s="435"/>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35"/>
      <c r="AG9" s="435"/>
      <c r="AI9" s="435"/>
    </row>
    <row r="10" spans="1:37" ht="15">
      <c r="A10" s="435"/>
      <c r="B10" s="435"/>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I10" s="435"/>
    </row>
    <row r="11" spans="1:37" ht="15">
      <c r="A11" s="435"/>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C11" s="435"/>
      <c r="AD11" s="435"/>
      <c r="AE11" s="435"/>
      <c r="AF11" s="435"/>
      <c r="AG11" s="435"/>
      <c r="AI11" s="435"/>
    </row>
    <row r="12" spans="1:37" ht="15.75">
      <c r="A12" s="435"/>
      <c r="B12" s="435"/>
      <c r="C12" s="435"/>
      <c r="D12" s="435"/>
      <c r="E12" s="435"/>
      <c r="F12" s="435"/>
      <c r="G12" s="435"/>
      <c r="H12" s="435"/>
      <c r="I12" s="435"/>
      <c r="J12" s="435"/>
      <c r="K12" s="435"/>
      <c r="L12" s="435"/>
      <c r="M12" s="435"/>
      <c r="N12" s="435"/>
      <c r="O12" s="435"/>
      <c r="P12" s="435"/>
      <c r="Q12" s="435"/>
      <c r="R12" s="435"/>
      <c r="S12" s="435"/>
      <c r="T12" s="435"/>
      <c r="U12" s="435"/>
      <c r="V12" s="435"/>
      <c r="W12" s="435"/>
      <c r="X12" s="435"/>
      <c r="Z12" s="435"/>
      <c r="AA12" s="1002"/>
      <c r="AB12" s="3360" t="str">
        <f>+'Cashflow Governmental'!AB12:AJ12</f>
        <v xml:space="preserve">                                    7 Months Ended October 31</v>
      </c>
      <c r="AC12" s="3360"/>
      <c r="AD12" s="3360"/>
      <c r="AE12" s="3360"/>
      <c r="AF12" s="3360"/>
      <c r="AG12" s="3360"/>
      <c r="AH12" s="3360"/>
      <c r="AI12" s="3360"/>
      <c r="AJ12" s="3360"/>
    </row>
    <row r="13" spans="1:37" ht="15.75">
      <c r="A13" s="435"/>
      <c r="B13" s="435"/>
      <c r="C13" s="1622" t="s">
        <v>130</v>
      </c>
      <c r="D13" s="1000"/>
      <c r="E13" s="1000"/>
      <c r="F13" s="1000"/>
      <c r="G13" s="1000"/>
      <c r="H13" s="1000"/>
      <c r="I13" s="1000"/>
      <c r="J13" s="1000"/>
      <c r="K13" s="1000"/>
      <c r="L13" s="1000"/>
      <c r="M13" s="1000"/>
      <c r="N13" s="1000"/>
      <c r="O13" s="1000"/>
      <c r="P13" s="1000"/>
      <c r="Q13" s="1000"/>
      <c r="R13" s="1000"/>
      <c r="S13" s="1000"/>
      <c r="T13" s="1000"/>
      <c r="U13" s="1622" t="s">
        <v>1169</v>
      </c>
      <c r="V13" s="1000"/>
      <c r="W13" s="1000"/>
      <c r="X13" s="1000"/>
      <c r="Y13" s="1000"/>
      <c r="Z13" s="1000"/>
      <c r="AA13" s="1000"/>
      <c r="AB13" s="1000"/>
      <c r="AC13" s="1623"/>
      <c r="AD13" s="1623"/>
      <c r="AE13" s="1623"/>
      <c r="AF13" s="1000"/>
      <c r="AG13" s="1000"/>
      <c r="AH13" s="1624" t="s">
        <v>8</v>
      </c>
      <c r="AI13" s="1622"/>
      <c r="AJ13" s="1624" t="s">
        <v>9</v>
      </c>
    </row>
    <row r="14" spans="1:37" ht="15.75">
      <c r="A14" s="435"/>
      <c r="B14" s="435"/>
      <c r="C14" s="1624" t="s">
        <v>131</v>
      </c>
      <c r="D14" s="1000"/>
      <c r="E14" s="1624" t="s">
        <v>132</v>
      </c>
      <c r="F14" s="1000"/>
      <c r="G14" s="1624" t="s">
        <v>133</v>
      </c>
      <c r="H14" s="1000"/>
      <c r="I14" s="1624" t="s">
        <v>134</v>
      </c>
      <c r="J14" s="1000"/>
      <c r="K14" s="1624" t="s">
        <v>135</v>
      </c>
      <c r="L14" s="1000"/>
      <c r="M14" s="1624" t="s">
        <v>136</v>
      </c>
      <c r="N14" s="1000"/>
      <c r="O14" s="1624" t="s">
        <v>137</v>
      </c>
      <c r="P14" s="1000"/>
      <c r="Q14" s="1624" t="s">
        <v>138</v>
      </c>
      <c r="R14" s="1000"/>
      <c r="S14" s="1624" t="s">
        <v>139</v>
      </c>
      <c r="T14" s="1000"/>
      <c r="U14" s="1624" t="s">
        <v>140</v>
      </c>
      <c r="V14" s="1000"/>
      <c r="W14" s="1624" t="s">
        <v>141</v>
      </c>
      <c r="X14" s="1000"/>
      <c r="Y14" s="1624" t="s">
        <v>142</v>
      </c>
      <c r="Z14" s="1000"/>
      <c r="AA14" s="1000"/>
      <c r="AB14" s="1625">
        <v>2014</v>
      </c>
      <c r="AC14" s="1000"/>
      <c r="AD14" s="1000"/>
      <c r="AE14" s="1625">
        <v>2013</v>
      </c>
      <c r="AF14" s="1623"/>
      <c r="AG14" s="1623"/>
      <c r="AH14" s="2197" t="s">
        <v>13</v>
      </c>
      <c r="AI14" s="1622"/>
      <c r="AJ14" s="2197" t="s">
        <v>14</v>
      </c>
    </row>
    <row r="15" spans="1:37" ht="5.25" customHeight="1">
      <c r="A15" s="435"/>
      <c r="B15" s="435"/>
      <c r="C15" s="1003"/>
      <c r="D15" s="435"/>
      <c r="E15" s="1003"/>
      <c r="F15" s="435"/>
      <c r="G15" s="1003"/>
      <c r="H15" s="435"/>
      <c r="I15" s="1003"/>
      <c r="J15" s="435"/>
      <c r="K15" s="1003"/>
      <c r="L15" s="435"/>
      <c r="M15" s="1003"/>
      <c r="N15" s="435"/>
      <c r="O15" s="1003" t="s">
        <v>16</v>
      </c>
      <c r="P15" s="435"/>
      <c r="Q15" s="1003"/>
      <c r="R15" s="435"/>
      <c r="S15" s="1003"/>
      <c r="T15" s="435"/>
      <c r="U15" s="1003" t="s">
        <v>16</v>
      </c>
      <c r="V15" s="435"/>
      <c r="W15" s="1003"/>
      <c r="X15" s="435"/>
      <c r="Y15" s="1003"/>
      <c r="Z15" s="435"/>
      <c r="AA15" s="435"/>
      <c r="AB15" s="1003"/>
      <c r="AC15" s="435"/>
      <c r="AD15" s="435"/>
      <c r="AE15" s="1003"/>
      <c r="AF15" s="2382"/>
      <c r="AG15" s="2382"/>
      <c r="AI15" s="435"/>
    </row>
    <row r="16" spans="1:37" ht="15.75">
      <c r="A16" s="1001" t="s">
        <v>143</v>
      </c>
      <c r="B16" s="435"/>
      <c r="C16" s="1373">
        <v>4789.1000000000004</v>
      </c>
      <c r="D16" s="1004"/>
      <c r="E16" s="1004">
        <f>+C141</f>
        <v>9035.7999999999993</v>
      </c>
      <c r="F16" s="1004"/>
      <c r="G16" s="1004">
        <f>+E141</f>
        <v>8094.3</v>
      </c>
      <c r="H16" s="1004"/>
      <c r="I16" s="1004">
        <f>+G141</f>
        <v>8739.7000000000007</v>
      </c>
      <c r="J16" s="1004"/>
      <c r="K16" s="1004">
        <f>+I141</f>
        <v>10815.1</v>
      </c>
      <c r="L16" s="1004"/>
      <c r="M16" s="1004">
        <f>+K141</f>
        <v>11121.3</v>
      </c>
      <c r="N16" s="1004"/>
      <c r="O16" s="1004">
        <f>M141</f>
        <v>10526.4</v>
      </c>
      <c r="P16" s="1004"/>
      <c r="Q16" s="1004"/>
      <c r="R16" s="1004"/>
      <c r="S16" s="1004"/>
      <c r="T16" s="1004"/>
      <c r="U16" s="1004"/>
      <c r="V16" s="1004"/>
      <c r="W16" s="1004"/>
      <c r="X16" s="1004"/>
      <c r="Y16" s="1004"/>
      <c r="Z16" s="1004"/>
      <c r="AA16" s="2198"/>
      <c r="AB16" s="1004">
        <f>C16</f>
        <v>4789.1000000000004</v>
      </c>
      <c r="AC16" s="1004"/>
      <c r="AD16" s="1006"/>
      <c r="AE16" s="1004">
        <v>4359.5</v>
      </c>
      <c r="AF16" s="2383"/>
      <c r="AG16" s="2383"/>
      <c r="AH16" s="1004">
        <f>ROUND(SUM(AB16-AE16),1)</f>
        <v>429.6</v>
      </c>
      <c r="AI16" s="1000"/>
      <c r="AJ16" s="518">
        <f>ROUND(SUM(AH16/AE16),3)</f>
        <v>9.9000000000000005E-2</v>
      </c>
      <c r="AK16" s="810"/>
    </row>
    <row r="17" spans="1:36" ht="15">
      <c r="A17" s="435"/>
      <c r="B17" s="435"/>
      <c r="C17" s="435" t="s">
        <v>16</v>
      </c>
      <c r="D17" s="435"/>
      <c r="E17" s="1007"/>
      <c r="F17" s="435"/>
      <c r="G17" s="1007"/>
      <c r="H17" s="435"/>
      <c r="I17" s="1007"/>
      <c r="J17" s="435"/>
      <c r="K17" s="1007"/>
      <c r="L17" s="435"/>
      <c r="M17" s="1007"/>
      <c r="N17" s="435"/>
      <c r="O17" s="1007"/>
      <c r="P17" s="435"/>
      <c r="Q17" s="1007"/>
      <c r="R17" s="435"/>
      <c r="S17" s="1007"/>
      <c r="T17" s="435"/>
      <c r="U17" s="1007"/>
      <c r="V17" s="435"/>
      <c r="W17" s="1007"/>
      <c r="X17" s="435"/>
      <c r="Y17" s="1007"/>
      <c r="Z17" s="435"/>
      <c r="AA17" s="2199"/>
      <c r="AB17" s="435" t="s">
        <v>16</v>
      </c>
      <c r="AC17" s="435"/>
      <c r="AD17" s="1009"/>
      <c r="AE17" s="435" t="s">
        <v>16</v>
      </c>
      <c r="AF17" s="2382"/>
      <c r="AG17" s="2382"/>
      <c r="AH17" s="1857"/>
      <c r="AI17" s="435"/>
      <c r="AJ17" s="1857"/>
    </row>
    <row r="18" spans="1:36" ht="15.75">
      <c r="A18" s="414" t="s">
        <v>15</v>
      </c>
      <c r="B18" s="435"/>
      <c r="C18" s="435"/>
      <c r="D18" s="435"/>
      <c r="E18" s="1007"/>
      <c r="F18" s="435"/>
      <c r="G18" s="1007"/>
      <c r="H18" s="435"/>
      <c r="I18" s="1007"/>
      <c r="J18" s="435"/>
      <c r="K18" s="1007"/>
      <c r="L18" s="435"/>
      <c r="M18" s="1007"/>
      <c r="N18" s="435"/>
      <c r="O18" s="1007"/>
      <c r="P18" s="435"/>
      <c r="Q18" s="1007"/>
      <c r="R18" s="435"/>
      <c r="S18" s="1007"/>
      <c r="T18" s="435"/>
      <c r="U18" s="1007"/>
      <c r="V18" s="435"/>
      <c r="W18" s="1007"/>
      <c r="X18" s="435"/>
      <c r="Y18" s="1007"/>
      <c r="Z18" s="435"/>
      <c r="AA18" s="2199"/>
      <c r="AB18" s="435"/>
      <c r="AC18" s="435"/>
      <c r="AD18" s="1009"/>
      <c r="AE18" s="435"/>
      <c r="AF18" s="2382"/>
      <c r="AG18" s="2382"/>
      <c r="AH18" s="1857"/>
      <c r="AI18" s="435"/>
      <c r="AJ18" s="1857"/>
    </row>
    <row r="19" spans="1:36" ht="15.75">
      <c r="A19" s="495" t="s">
        <v>1495</v>
      </c>
      <c r="B19" s="435"/>
      <c r="C19" s="435"/>
      <c r="D19" s="435"/>
      <c r="E19" s="1007"/>
      <c r="F19" s="435"/>
      <c r="G19" s="1007"/>
      <c r="H19" s="435"/>
      <c r="I19" s="1007"/>
      <c r="J19" s="435"/>
      <c r="K19" s="1007"/>
      <c r="L19" s="435"/>
      <c r="M19" s="1007"/>
      <c r="N19" s="435"/>
      <c r="O19" s="1007"/>
      <c r="P19" s="435"/>
      <c r="Q19" s="1007"/>
      <c r="R19" s="435"/>
      <c r="S19" s="1007"/>
      <c r="T19" s="435"/>
      <c r="U19" s="1007"/>
      <c r="V19" s="435"/>
      <c r="W19" s="1007"/>
      <c r="X19" s="435"/>
      <c r="Y19" s="1007"/>
      <c r="Z19" s="435"/>
      <c r="AA19" s="1008"/>
      <c r="AB19" s="435"/>
      <c r="AC19" s="435"/>
      <c r="AD19" s="1009"/>
      <c r="AE19" s="435"/>
      <c r="AF19" s="2382"/>
      <c r="AG19" s="2382"/>
      <c r="AH19" s="1857"/>
      <c r="AI19" s="435"/>
      <c r="AJ19" s="1857"/>
    </row>
    <row r="20" spans="1:36" ht="15">
      <c r="A20" s="2346" t="s">
        <v>1572</v>
      </c>
      <c r="B20" s="435"/>
      <c r="C20" s="435"/>
      <c r="D20" s="435"/>
      <c r="E20" s="1007"/>
      <c r="F20" s="435"/>
      <c r="G20" s="1007"/>
      <c r="H20" s="435"/>
      <c r="I20" s="1007"/>
      <c r="J20" s="435"/>
      <c r="K20" s="1007"/>
      <c r="L20" s="435"/>
      <c r="M20" s="1007"/>
      <c r="N20" s="435"/>
      <c r="O20" s="1007"/>
      <c r="P20" s="435"/>
      <c r="Q20" s="1007"/>
      <c r="R20" s="435"/>
      <c r="S20" s="1007"/>
      <c r="T20" s="435"/>
      <c r="U20" s="1007"/>
      <c r="V20" s="435"/>
      <c r="W20" s="1007"/>
      <c r="X20" s="435"/>
      <c r="Y20" s="1007"/>
      <c r="Z20" s="435"/>
      <c r="AA20" s="2199"/>
      <c r="AB20" s="435"/>
      <c r="AC20" s="435"/>
      <c r="AD20" s="1009"/>
      <c r="AE20" s="435"/>
      <c r="AF20" s="2382"/>
      <c r="AG20" s="2382"/>
      <c r="AH20" s="1857"/>
      <c r="AI20" s="435"/>
      <c r="AJ20" s="1857"/>
    </row>
    <row r="21" spans="1:36" ht="15">
      <c r="A21" s="1313" t="s">
        <v>1503</v>
      </c>
      <c r="B21" s="435"/>
      <c r="C21" s="1010">
        <f>+'Exh F'!D19</f>
        <v>2760.5</v>
      </c>
      <c r="D21" s="1010"/>
      <c r="E21" s="1010">
        <f>+'Exh F'!F19</f>
        <v>2421.3000000000002</v>
      </c>
      <c r="F21" s="1010"/>
      <c r="G21" s="1010">
        <f>+'Exh F'!H19</f>
        <v>2361.1999999999998</v>
      </c>
      <c r="H21" s="1010"/>
      <c r="I21" s="1010">
        <f>+'Exh F'!J19</f>
        <v>2563.1</v>
      </c>
      <c r="J21" s="1010"/>
      <c r="K21" s="1010">
        <f>+'Exh F'!L19</f>
        <v>2371</v>
      </c>
      <c r="L21" s="1010"/>
      <c r="M21" s="1010">
        <f>+'Exh F'!N19</f>
        <v>2392.4</v>
      </c>
      <c r="N21" s="1010"/>
      <c r="O21" s="1010">
        <f>+'Exh F'!P19</f>
        <v>2525.4</v>
      </c>
      <c r="P21" s="435"/>
      <c r="Q21" s="1007"/>
      <c r="R21" s="435"/>
      <c r="S21" s="1007"/>
      <c r="T21" s="435"/>
      <c r="U21" s="1007"/>
      <c r="V21" s="435"/>
      <c r="W21" s="1007"/>
      <c r="X21" s="435"/>
      <c r="Y21" s="1007"/>
      <c r="Z21" s="435"/>
      <c r="AA21" s="2199"/>
      <c r="AB21" s="1010">
        <f t="shared" ref="AB21:AB29" si="0">ROUND(SUM(C21:Y21),1)</f>
        <v>17394.900000000001</v>
      </c>
      <c r="AC21" s="435"/>
      <c r="AD21" s="1009"/>
      <c r="AE21" s="435">
        <f>+'Exh F'!AF19</f>
        <v>16509.099999999999</v>
      </c>
      <c r="AF21" s="2382"/>
      <c r="AG21" s="2382"/>
      <c r="AH21" s="1214">
        <f>ROUND(SUM(+AB21-AE21),1)</f>
        <v>885.8</v>
      </c>
      <c r="AI21" s="2362"/>
      <c r="AJ21" s="2201">
        <f>ROUND(SUM(+AH21/AE21),3)</f>
        <v>5.3999999999999999E-2</v>
      </c>
    </row>
    <row r="22" spans="1:36" ht="15">
      <c r="A22" s="1313" t="s">
        <v>1504</v>
      </c>
      <c r="B22" s="435"/>
      <c r="C22" s="1010">
        <f>+'Exh F'!D20</f>
        <v>4040.4</v>
      </c>
      <c r="D22" s="1010"/>
      <c r="E22" s="1010">
        <f>+'Exh F'!F20</f>
        <v>112.1</v>
      </c>
      <c r="F22" s="1010"/>
      <c r="G22" s="1010">
        <f>+'Exh F'!H20</f>
        <v>1891.6</v>
      </c>
      <c r="H22" s="1010"/>
      <c r="I22" s="1010">
        <f>+'Exh F'!J20</f>
        <v>95.3</v>
      </c>
      <c r="J22" s="1010"/>
      <c r="K22" s="1010">
        <f>+'Exh F'!L20</f>
        <v>72.7</v>
      </c>
      <c r="L22" s="1010"/>
      <c r="M22" s="1010">
        <f>+'Exh F'!N20</f>
        <v>2228.8000000000002</v>
      </c>
      <c r="N22" s="1010"/>
      <c r="O22" s="1010">
        <f>+'Exh F'!P20</f>
        <v>153.1</v>
      </c>
      <c r="P22" s="435"/>
      <c r="Q22" s="1007"/>
      <c r="R22" s="435"/>
      <c r="S22" s="1007"/>
      <c r="T22" s="435"/>
      <c r="U22" s="1007"/>
      <c r="V22" s="435"/>
      <c r="W22" s="1007"/>
      <c r="X22" s="435"/>
      <c r="Y22" s="1007"/>
      <c r="Z22" s="435"/>
      <c r="AA22" s="2199"/>
      <c r="AB22" s="1010">
        <f t="shared" si="0"/>
        <v>8594</v>
      </c>
      <c r="AC22" s="435"/>
      <c r="AD22" s="1009"/>
      <c r="AE22" s="435">
        <f>+'Exh F'!AF20</f>
        <v>10038.1</v>
      </c>
      <c r="AF22" s="2382"/>
      <c r="AG22" s="2382"/>
      <c r="AH22" s="1214">
        <f t="shared" ref="AH22:AH28" si="1">ROUND(SUM(+AB22-AE22),1)</f>
        <v>-1444.1</v>
      </c>
      <c r="AI22" s="2362"/>
      <c r="AJ22" s="2201">
        <f t="shared" ref="AJ22:AJ30" si="2">ROUND(SUM(+AH22/AE22),3)</f>
        <v>-0.14399999999999999</v>
      </c>
    </row>
    <row r="23" spans="1:36" ht="15">
      <c r="A23" s="1313" t="s">
        <v>1505</v>
      </c>
      <c r="B23" s="435"/>
      <c r="C23" s="1010">
        <f>+'Exh F'!D21</f>
        <v>1433.5</v>
      </c>
      <c r="D23" s="1010"/>
      <c r="E23" s="1010">
        <f>+'Exh F'!F21</f>
        <v>57.4</v>
      </c>
      <c r="F23" s="1010"/>
      <c r="G23" s="1010">
        <f>+'Exh F'!H21</f>
        <v>38.6</v>
      </c>
      <c r="H23" s="1010"/>
      <c r="I23" s="1010">
        <f>+'Exh F'!J21</f>
        <v>38.6</v>
      </c>
      <c r="J23" s="1010"/>
      <c r="K23" s="1010">
        <f>+'Exh F'!L21</f>
        <v>29.9</v>
      </c>
      <c r="L23" s="1010"/>
      <c r="M23" s="1010">
        <f>+'Exh F'!N21</f>
        <v>53.8</v>
      </c>
      <c r="N23" s="1010"/>
      <c r="O23" s="1010">
        <f>+'Exh F'!P21</f>
        <v>335.3</v>
      </c>
      <c r="P23" s="435"/>
      <c r="Q23" s="1007"/>
      <c r="R23" s="435"/>
      <c r="S23" s="1007"/>
      <c r="T23" s="435"/>
      <c r="U23" s="1007"/>
      <c r="V23" s="435"/>
      <c r="W23" s="1007"/>
      <c r="X23" s="435"/>
      <c r="Y23" s="1007"/>
      <c r="Z23" s="435"/>
      <c r="AA23" s="2199"/>
      <c r="AB23" s="1010">
        <f t="shared" si="0"/>
        <v>1987.1</v>
      </c>
      <c r="AC23" s="435"/>
      <c r="AD23" s="1009"/>
      <c r="AE23" s="435">
        <f>+'Exh F'!AF21</f>
        <v>2167.5</v>
      </c>
      <c r="AF23" s="2382"/>
      <c r="AG23" s="2382"/>
      <c r="AH23" s="1214">
        <f t="shared" si="1"/>
        <v>-180.4</v>
      </c>
      <c r="AI23" s="2362"/>
      <c r="AJ23" s="2201">
        <f t="shared" si="2"/>
        <v>-8.3000000000000004E-2</v>
      </c>
    </row>
    <row r="24" spans="1:36" ht="15">
      <c r="A24" s="2385" t="s">
        <v>1506</v>
      </c>
      <c r="B24" s="435"/>
      <c r="C24" s="1010">
        <f>+'Exh F'!D22</f>
        <v>-124.1</v>
      </c>
      <c r="D24" s="1010"/>
      <c r="E24" s="1010">
        <f>+'Exh F'!F22</f>
        <v>-26.9</v>
      </c>
      <c r="F24" s="1010"/>
      <c r="G24" s="1010">
        <f>+'Exh F'!H22</f>
        <v>-13.2</v>
      </c>
      <c r="H24" s="1010"/>
      <c r="I24" s="1010">
        <f>+'Exh F'!J22</f>
        <v>-10.4</v>
      </c>
      <c r="J24" s="1010"/>
      <c r="K24" s="1010">
        <f>+'Exh F'!L22</f>
        <v>-10.9</v>
      </c>
      <c r="L24" s="1010"/>
      <c r="M24" s="1010">
        <f>+'Exh F'!N22</f>
        <v>-33.9</v>
      </c>
      <c r="N24" s="1010"/>
      <c r="O24" s="1010">
        <f>+'Exh F'!P22</f>
        <v>-210</v>
      </c>
      <c r="P24" s="435"/>
      <c r="Q24" s="1007"/>
      <c r="R24" s="435"/>
      <c r="S24" s="1007"/>
      <c r="T24" s="435"/>
      <c r="U24" s="1007"/>
      <c r="V24" s="435"/>
      <c r="W24" s="1007"/>
      <c r="X24" s="435"/>
      <c r="Y24" s="1007"/>
      <c r="Z24" s="435"/>
      <c r="AA24" s="2199"/>
      <c r="AB24" s="1010">
        <f t="shared" si="0"/>
        <v>-429.4</v>
      </c>
      <c r="AC24" s="435"/>
      <c r="AD24" s="1009"/>
      <c r="AE24" s="435">
        <f>+'Exh F'!AF22</f>
        <v>-450.9</v>
      </c>
      <c r="AF24" s="2382"/>
      <c r="AG24" s="2382"/>
      <c r="AH24" s="1214">
        <f>-ROUND(SUM(+AB24-AE24),1)</f>
        <v>-21.5</v>
      </c>
      <c r="AI24" s="2362"/>
      <c r="AJ24" s="2201">
        <f>-ROUND(SUM(+AH24/AE24),3)</f>
        <v>-4.8000000000000001E-2</v>
      </c>
    </row>
    <row r="25" spans="1:36" ht="15">
      <c r="A25" s="2385" t="s">
        <v>1507</v>
      </c>
      <c r="B25" s="435"/>
      <c r="C25" s="1010">
        <f>+'Exh F'!D23</f>
        <v>112.2</v>
      </c>
      <c r="D25" s="1010"/>
      <c r="E25" s="1010">
        <f>+'Exh F'!F23</f>
        <v>126.9</v>
      </c>
      <c r="F25" s="1010"/>
      <c r="G25" s="1010">
        <f>+'Exh F'!H23</f>
        <v>93.9</v>
      </c>
      <c r="H25" s="1010"/>
      <c r="I25" s="1010">
        <f>+'Exh F'!J23</f>
        <v>85.7</v>
      </c>
      <c r="J25" s="1010"/>
      <c r="K25" s="1010">
        <f>+'Exh F'!L23</f>
        <v>64.099999999999994</v>
      </c>
      <c r="L25" s="1010"/>
      <c r="M25" s="1010">
        <f>+'Exh F'!N23</f>
        <v>76.8</v>
      </c>
      <c r="N25" s="1010"/>
      <c r="O25" s="1010">
        <f>+'Exh F'!P23</f>
        <v>85.5</v>
      </c>
      <c r="P25" s="435"/>
      <c r="Q25" s="1007"/>
      <c r="R25" s="435"/>
      <c r="S25" s="1007"/>
      <c r="T25" s="435"/>
      <c r="U25" s="1007"/>
      <c r="V25" s="435"/>
      <c r="W25" s="1007"/>
      <c r="X25" s="435"/>
      <c r="Y25" s="1007"/>
      <c r="Z25" s="435"/>
      <c r="AA25" s="2199"/>
      <c r="AB25" s="1010">
        <f t="shared" si="0"/>
        <v>645.1</v>
      </c>
      <c r="AC25" s="435"/>
      <c r="AD25" s="1009"/>
      <c r="AE25" s="435">
        <f>+'Exh F'!AF23</f>
        <v>599.1</v>
      </c>
      <c r="AF25" s="2382"/>
      <c r="AG25" s="2382"/>
      <c r="AH25" s="1214">
        <f t="shared" si="1"/>
        <v>46</v>
      </c>
      <c r="AI25" s="2362"/>
      <c r="AJ25" s="2201">
        <f t="shared" si="2"/>
        <v>7.6999999999999999E-2</v>
      </c>
    </row>
    <row r="26" spans="1:36" ht="15.75">
      <c r="A26" s="1314" t="s">
        <v>1508</v>
      </c>
      <c r="B26" s="435"/>
      <c r="C26" s="489">
        <f>ROUND(SUM(C21:C25),1)</f>
        <v>8222.5</v>
      </c>
      <c r="D26" s="435"/>
      <c r="E26" s="489">
        <f>ROUND(SUM(E21:E25),1)</f>
        <v>2690.8</v>
      </c>
      <c r="F26" s="435"/>
      <c r="G26" s="489">
        <f>ROUND(SUM(G21:G25),1)</f>
        <v>4372.1000000000004</v>
      </c>
      <c r="H26" s="435"/>
      <c r="I26" s="489">
        <f>ROUND(SUM(I21:I25),1)</f>
        <v>2772.3</v>
      </c>
      <c r="J26" s="435"/>
      <c r="K26" s="489">
        <f>ROUND(SUM(K21:K25),1)</f>
        <v>2526.8000000000002</v>
      </c>
      <c r="L26" s="435"/>
      <c r="M26" s="489">
        <f>ROUND(SUM(M21:M25),1)</f>
        <v>4717.8999999999996</v>
      </c>
      <c r="N26" s="435"/>
      <c r="O26" s="489">
        <f>ROUND(SUM(O21:O25),1)</f>
        <v>2889.3</v>
      </c>
      <c r="P26" s="435"/>
      <c r="Q26" s="489">
        <f>ROUND(SUM(Q21:Q25),1)</f>
        <v>0</v>
      </c>
      <c r="R26" s="435"/>
      <c r="S26" s="489">
        <f>ROUND(SUM(S21:S25),1)</f>
        <v>0</v>
      </c>
      <c r="T26" s="435"/>
      <c r="U26" s="489">
        <f>ROUND(SUM(U21:U25),1)</f>
        <v>0</v>
      </c>
      <c r="V26" s="435"/>
      <c r="W26" s="489">
        <f>ROUND(SUM(W21:W25),1)</f>
        <v>0</v>
      </c>
      <c r="X26" s="435"/>
      <c r="Y26" s="489">
        <f>ROUND(SUM(Y21:Y25),1)</f>
        <v>0</v>
      </c>
      <c r="Z26" s="435"/>
      <c r="AA26" s="2199"/>
      <c r="AB26" s="489">
        <f>ROUND(SUM(AB21:AB25),1)</f>
        <v>28191.7</v>
      </c>
      <c r="AC26" s="435"/>
      <c r="AD26" s="1009"/>
      <c r="AE26" s="489">
        <f>ROUND(SUM(AE21:AE25),1)</f>
        <v>28862.9</v>
      </c>
      <c r="AF26" s="2382"/>
      <c r="AG26" s="2382"/>
      <c r="AH26" s="260">
        <f t="shared" si="1"/>
        <v>-671.2</v>
      </c>
      <c r="AI26" s="2362"/>
      <c r="AJ26" s="533">
        <f t="shared" si="2"/>
        <v>-2.3E-2</v>
      </c>
    </row>
    <row r="27" spans="1:36" ht="15">
      <c r="A27" s="2385" t="s">
        <v>1510</v>
      </c>
      <c r="B27" s="435"/>
      <c r="C27" s="1010">
        <f>+'Exh F'!D25+'Exhibit G state'!D16</f>
        <v>0</v>
      </c>
      <c r="D27" s="435"/>
      <c r="E27" s="1010">
        <f>+'Exh F'!F25+'Exhibit G state'!F16</f>
        <v>0</v>
      </c>
      <c r="F27" s="435"/>
      <c r="G27" s="1010">
        <f>+'Exh F'!H25+'Exhibit G state'!H16</f>
        <v>0</v>
      </c>
      <c r="H27" s="435"/>
      <c r="I27" s="1010">
        <f>+'Exh F'!J25+'Exhibit G state'!J16</f>
        <v>0</v>
      </c>
      <c r="J27" s="435"/>
      <c r="K27" s="1010">
        <f>+'Exh F'!L25+'Exhibit G state'!L16</f>
        <v>0</v>
      </c>
      <c r="L27" s="435"/>
      <c r="M27" s="1010">
        <f>+'Exh F'!N25+'Exhibit G state'!N16</f>
        <v>0</v>
      </c>
      <c r="N27" s="435"/>
      <c r="O27" s="1010">
        <f>+'Exh F'!P25+'Exhibit G state'!P16</f>
        <v>0</v>
      </c>
      <c r="P27" s="435"/>
      <c r="Q27" s="1007"/>
      <c r="R27" s="435"/>
      <c r="S27" s="1007"/>
      <c r="T27" s="435"/>
      <c r="U27" s="1007"/>
      <c r="V27" s="435"/>
      <c r="W27" s="1007"/>
      <c r="X27" s="435"/>
      <c r="Y27" s="1007"/>
      <c r="Z27" s="435"/>
      <c r="AA27" s="2199"/>
      <c r="AB27" s="1010">
        <f t="shared" si="0"/>
        <v>0</v>
      </c>
      <c r="AC27" s="435"/>
      <c r="AD27" s="1009"/>
      <c r="AE27" s="1010">
        <f>+'Exh F'!AF25+'Exhibit G state'!AH16</f>
        <v>0</v>
      </c>
      <c r="AF27" s="2382"/>
      <c r="AG27" s="2382"/>
      <c r="AH27" s="1214">
        <f t="shared" si="1"/>
        <v>0</v>
      </c>
      <c r="AI27" s="2362"/>
      <c r="AJ27" s="2040">
        <f>ROUND(IF(AE27=0,0,AH27/(AE27)),3)</f>
        <v>0</v>
      </c>
    </row>
    <row r="28" spans="1:36" ht="15">
      <c r="A28" s="2385" t="s">
        <v>1511</v>
      </c>
      <c r="B28" s="435"/>
      <c r="C28" s="1010">
        <f>+'Exh F'!D26+'Exhibit H'!B16</f>
        <v>0</v>
      </c>
      <c r="D28" s="435"/>
      <c r="E28" s="1010">
        <f>+'Exh F'!F26+'Exhibit H'!D16</f>
        <v>0</v>
      </c>
      <c r="F28" s="435"/>
      <c r="G28" s="1010">
        <f>+'Exh F'!H26+'Exhibit H'!F16</f>
        <v>0</v>
      </c>
      <c r="H28" s="435"/>
      <c r="I28" s="1010">
        <f>+'Exh F'!J26+'Exhibit H'!H16</f>
        <v>0</v>
      </c>
      <c r="J28" s="435"/>
      <c r="K28" s="1010">
        <f>+'Exh F'!L26+'Exhibit H'!J16</f>
        <v>0</v>
      </c>
      <c r="L28" s="435"/>
      <c r="M28" s="1010">
        <f>+'Exh F'!N26+'Exhibit H'!L16</f>
        <v>0</v>
      </c>
      <c r="N28" s="435"/>
      <c r="O28" s="1010">
        <f>+'Exh F'!P26+'Exhibit H'!N16</f>
        <v>0</v>
      </c>
      <c r="P28" s="435"/>
      <c r="Q28" s="1007"/>
      <c r="R28" s="435"/>
      <c r="S28" s="1007"/>
      <c r="T28" s="435"/>
      <c r="U28" s="1007"/>
      <c r="V28" s="435"/>
      <c r="W28" s="1007"/>
      <c r="X28" s="435"/>
      <c r="Y28" s="1007"/>
      <c r="Z28" s="435"/>
      <c r="AA28" s="2199"/>
      <c r="AB28" s="1010">
        <f t="shared" si="0"/>
        <v>0</v>
      </c>
      <c r="AC28" s="435"/>
      <c r="AD28" s="1009"/>
      <c r="AE28" s="1010">
        <f>+'Exh F'!AF26+'Exhibit H'!AD16</f>
        <v>0</v>
      </c>
      <c r="AF28" s="2382"/>
      <c r="AG28" s="2382"/>
      <c r="AH28" s="1214">
        <f t="shared" si="1"/>
        <v>0</v>
      </c>
      <c r="AI28" s="2362"/>
      <c r="AJ28" s="2040">
        <f>ROUND(IF(AE28=0,0,AH28/(AE28)),3)</f>
        <v>0</v>
      </c>
    </row>
    <row r="29" spans="1:36" ht="15">
      <c r="A29" s="1313" t="s">
        <v>1512</v>
      </c>
      <c r="B29" s="1010"/>
      <c r="C29" s="1010">
        <f>+'Exh F'!D27</f>
        <v>-2869.2</v>
      </c>
      <c r="D29" s="1010"/>
      <c r="E29" s="1010">
        <f>+'Exh F'!F27</f>
        <v>-588.9</v>
      </c>
      <c r="F29" s="1010"/>
      <c r="G29" s="1010">
        <f>+'Exh F'!H27</f>
        <v>-127.3</v>
      </c>
      <c r="H29" s="1010"/>
      <c r="I29" s="1010">
        <f>+'Exh F'!J27</f>
        <v>-206.8</v>
      </c>
      <c r="J29" s="1010"/>
      <c r="K29" s="1010">
        <f>+'Exh F'!L27</f>
        <v>-136.4</v>
      </c>
      <c r="L29" s="435"/>
      <c r="M29" s="1010">
        <f>+'Exh F'!N27</f>
        <v>-487.5</v>
      </c>
      <c r="N29" s="435"/>
      <c r="O29" s="1010">
        <f>+'Exh F'!P27</f>
        <v>-401.9</v>
      </c>
      <c r="P29" s="435"/>
      <c r="Q29" s="1007"/>
      <c r="R29" s="435"/>
      <c r="S29" s="1007"/>
      <c r="T29" s="435"/>
      <c r="U29" s="1007"/>
      <c r="V29" s="435"/>
      <c r="W29" s="1007"/>
      <c r="X29" s="435"/>
      <c r="Y29" s="1007"/>
      <c r="Z29" s="435"/>
      <c r="AA29" s="2199"/>
      <c r="AB29" s="1010">
        <f t="shared" si="0"/>
        <v>-4818</v>
      </c>
      <c r="AC29" s="435"/>
      <c r="AD29" s="1009"/>
      <c r="AE29" s="435">
        <f>+'Exh F'!AF27</f>
        <v>-4882</v>
      </c>
      <c r="AF29" s="2382"/>
      <c r="AG29" s="2382"/>
      <c r="AH29" s="1214">
        <f>-ROUND(SUM(+AB29-AE29),1)</f>
        <v>-64</v>
      </c>
      <c r="AI29" s="2362"/>
      <c r="AJ29" s="2201">
        <f>-ROUND(SUM(+AH29/AE29),3)</f>
        <v>-1.2999999999999999E-2</v>
      </c>
    </row>
    <row r="30" spans="1:36" ht="15.75">
      <c r="A30" s="594" t="s">
        <v>1509</v>
      </c>
      <c r="B30" s="435"/>
      <c r="C30" s="489">
        <f>ROUND(SUM(C26+C27+C28+C29),1)</f>
        <v>5353.3</v>
      </c>
      <c r="D30" s="435"/>
      <c r="E30" s="489">
        <f>ROUND(SUM(E26+E27+E28+E29),1)</f>
        <v>2101.9</v>
      </c>
      <c r="F30" s="435"/>
      <c r="G30" s="489">
        <f>ROUND(SUM(G26+G27+G28+G29),1)</f>
        <v>4244.8</v>
      </c>
      <c r="H30" s="435"/>
      <c r="I30" s="489">
        <f>ROUND(SUM(I26+I27+I28+I29),1)</f>
        <v>2565.5</v>
      </c>
      <c r="J30" s="435"/>
      <c r="K30" s="489">
        <f>ROUND(SUM(K26+K27+K28+K29),1)</f>
        <v>2390.4</v>
      </c>
      <c r="L30" s="435"/>
      <c r="M30" s="489">
        <f>ROUND(SUM(M26+M27+M28+M29),1)</f>
        <v>4230.3999999999996</v>
      </c>
      <c r="N30" s="435"/>
      <c r="O30" s="489">
        <f>ROUND(SUM(O26+O27+O28+O29),1)</f>
        <v>2487.4</v>
      </c>
      <c r="P30" s="435"/>
      <c r="Q30" s="489">
        <f>ROUND(SUM(Q26+Q27+Q28+Q29),1)</f>
        <v>0</v>
      </c>
      <c r="R30" s="435"/>
      <c r="S30" s="489">
        <f>ROUND(SUM(S26+S27+S28+S29),1)</f>
        <v>0</v>
      </c>
      <c r="T30" s="435"/>
      <c r="U30" s="489">
        <f>ROUND(SUM(U26+U27+U28+U29),1)</f>
        <v>0</v>
      </c>
      <c r="V30" s="435"/>
      <c r="W30" s="489">
        <f>ROUND(SUM(W26+W27+W28+W29),1)</f>
        <v>0</v>
      </c>
      <c r="X30" s="435"/>
      <c r="Y30" s="489">
        <f>ROUND(SUM(Y26+Y27+Y28+Y29),1)</f>
        <v>0</v>
      </c>
      <c r="Z30" s="435"/>
      <c r="AA30" s="2199"/>
      <c r="AB30" s="489">
        <f>ROUND(SUM(AB26+AB27+AB28+AB29),1)</f>
        <v>23373.7</v>
      </c>
      <c r="AC30" s="435"/>
      <c r="AD30" s="1009"/>
      <c r="AE30" s="489">
        <f>ROUND(SUM(AE26+AE27+AE28+AE29),1)</f>
        <v>23980.9</v>
      </c>
      <c r="AF30" s="2382"/>
      <c r="AG30" s="2382"/>
      <c r="AH30" s="489">
        <f>ROUND(SUM(AH26+AH27+AH28-AH29),1)</f>
        <v>-607.20000000000005</v>
      </c>
      <c r="AI30" s="2361"/>
      <c r="AJ30" s="533">
        <f t="shared" si="2"/>
        <v>-2.5000000000000001E-2</v>
      </c>
    </row>
    <row r="31" spans="1:36" ht="15">
      <c r="A31" s="2346" t="s">
        <v>1569</v>
      </c>
      <c r="B31" s="435"/>
      <c r="C31" s="435"/>
      <c r="D31" s="435"/>
      <c r="E31" s="435"/>
      <c r="F31" s="435"/>
      <c r="G31" s="435"/>
      <c r="H31" s="435"/>
      <c r="I31" s="435"/>
      <c r="J31" s="435"/>
      <c r="K31" s="435"/>
      <c r="L31" s="435"/>
      <c r="M31" s="435"/>
      <c r="N31" s="435"/>
      <c r="O31" s="1007"/>
      <c r="P31" s="435"/>
      <c r="Q31" s="1007"/>
      <c r="R31" s="435"/>
      <c r="S31" s="1007"/>
      <c r="T31" s="435"/>
      <c r="U31" s="1007"/>
      <c r="V31" s="435"/>
      <c r="W31" s="1007"/>
      <c r="X31" s="435"/>
      <c r="Y31" s="1007"/>
      <c r="Z31" s="435"/>
      <c r="AA31" s="2199"/>
      <c r="AB31" s="435"/>
      <c r="AC31" s="435"/>
      <c r="AD31" s="1009"/>
      <c r="AE31" s="435"/>
      <c r="AF31" s="2382"/>
      <c r="AG31" s="2382"/>
      <c r="AH31" s="1857"/>
      <c r="AI31" s="435"/>
      <c r="AJ31" s="1857"/>
    </row>
    <row r="32" spans="1:36" ht="15">
      <c r="A32" s="1313" t="s">
        <v>1515</v>
      </c>
      <c r="B32" s="435"/>
      <c r="C32" s="1010">
        <f>+'Exh F'!D30+'Exhibit H'!B19+'Exhibit G state'!D20</f>
        <v>986.5</v>
      </c>
      <c r="D32" s="1010"/>
      <c r="E32" s="1010">
        <f>+'Exh F'!F30+'Exhibit H'!D19+'Exhibit G state'!F20</f>
        <v>977.1</v>
      </c>
      <c r="F32" s="1010"/>
      <c r="G32" s="1010">
        <f>+'Exh F'!H30+'Exhibit H'!F19+'Exhibit G state'!H20</f>
        <v>1285.8999999999999</v>
      </c>
      <c r="H32" s="1010"/>
      <c r="I32" s="1010">
        <f>+'Exh F'!J30+'Exhibit H'!H19+'Exhibit G state'!J20</f>
        <v>1002.7</v>
      </c>
      <c r="J32" s="1010"/>
      <c r="K32" s="1010">
        <f>+'Exh F'!L30+'Exhibit H'!J19+'Exhibit G state'!L20</f>
        <v>995.5</v>
      </c>
      <c r="L32" s="435"/>
      <c r="M32" s="1010">
        <f>+'Exh F'!N30+'Exhibit H'!L19+'Exhibit G state'!N20</f>
        <v>1323.4</v>
      </c>
      <c r="N32" s="435"/>
      <c r="O32" s="1010">
        <f>+'Exh F'!P30+'Exhibit H'!N19+'Exhibit G state'!P20</f>
        <v>996.8</v>
      </c>
      <c r="P32" s="435"/>
      <c r="Q32" s="1007"/>
      <c r="R32" s="435"/>
      <c r="S32" s="1007"/>
      <c r="T32" s="435"/>
      <c r="U32" s="1007"/>
      <c r="V32" s="435"/>
      <c r="W32" s="1007"/>
      <c r="X32" s="435"/>
      <c r="Y32" s="1007"/>
      <c r="Z32" s="435"/>
      <c r="AA32" s="2199"/>
      <c r="AB32" s="1010">
        <f t="shared" ref="AB32:AB38" si="3">ROUND(SUM(C32:Y32),1)</f>
        <v>7567.9</v>
      </c>
      <c r="AC32" s="435"/>
      <c r="AD32" s="1009"/>
      <c r="AE32" s="435">
        <f>+'Exh F'!AF30+'Exhibit H'!AD19+'Exhibit G state'!AH20</f>
        <v>7325.4</v>
      </c>
      <c r="AF32" s="2382"/>
      <c r="AG32" s="2382"/>
      <c r="AH32" s="1214">
        <f t="shared" ref="AH32:AH38" si="4">ROUND(SUM(+AB32-AE32),1)</f>
        <v>242.5</v>
      </c>
      <c r="AI32" s="2362"/>
      <c r="AJ32" s="2201">
        <f t="shared" ref="AJ32:AJ39" si="5">ROUND(SUM(+AH32/AE32),3)</f>
        <v>3.3000000000000002E-2</v>
      </c>
    </row>
    <row r="33" spans="1:36" ht="15">
      <c r="A33" s="1313" t="s">
        <v>1516</v>
      </c>
      <c r="B33" s="435"/>
      <c r="C33" s="1010">
        <f>+'Exh F'!D31+'Exhibit G state'!D21</f>
        <v>1.7</v>
      </c>
      <c r="D33" s="1010"/>
      <c r="E33" s="1010">
        <f>+'Exh F'!F31+'Exhibit G state'!F21</f>
        <v>0</v>
      </c>
      <c r="F33" s="1010"/>
      <c r="G33" s="1010">
        <f>+'Exh F'!H31+'Exhibit G state'!H21</f>
        <v>9.9</v>
      </c>
      <c r="H33" s="1010"/>
      <c r="I33" s="1010">
        <f>+'Exh F'!J31+'Exhibit G state'!J21</f>
        <v>0.6</v>
      </c>
      <c r="J33" s="1010"/>
      <c r="K33" s="1010">
        <f>+'Exh F'!L31+'Exhibit G state'!L21</f>
        <v>0</v>
      </c>
      <c r="L33" s="435"/>
      <c r="M33" s="1010">
        <f>+'Exh F'!N31+'Exhibit G state'!N21</f>
        <v>14.2</v>
      </c>
      <c r="N33" s="435"/>
      <c r="O33" s="1010">
        <f>+'Exh F'!P31+'Exhibit G state'!P21</f>
        <v>0</v>
      </c>
      <c r="P33" s="435"/>
      <c r="Q33" s="1007"/>
      <c r="R33" s="435"/>
      <c r="S33" s="1007"/>
      <c r="T33" s="435"/>
      <c r="U33" s="1007"/>
      <c r="V33" s="435"/>
      <c r="W33" s="1007"/>
      <c r="X33" s="435"/>
      <c r="Y33" s="1007"/>
      <c r="Z33" s="435"/>
      <c r="AA33" s="2199"/>
      <c r="AB33" s="1010">
        <f t="shared" si="3"/>
        <v>26.4</v>
      </c>
      <c r="AC33" s="435"/>
      <c r="AD33" s="1009"/>
      <c r="AE33" s="435">
        <f>+'Exh F'!AF31+'Exhibit G state'!AH21</f>
        <v>24.7</v>
      </c>
      <c r="AF33" s="2382"/>
      <c r="AG33" s="2382"/>
      <c r="AH33" s="1214">
        <f t="shared" si="4"/>
        <v>1.7</v>
      </c>
      <c r="AI33" s="2362"/>
      <c r="AJ33" s="2201">
        <f t="shared" si="5"/>
        <v>6.9000000000000006E-2</v>
      </c>
    </row>
    <row r="34" spans="1:36" ht="15">
      <c r="A34" s="1313" t="s">
        <v>1517</v>
      </c>
      <c r="B34" s="435"/>
      <c r="C34" s="1010">
        <f>+'Exh F'!D32+'Exhibit G state'!D22</f>
        <v>119.7</v>
      </c>
      <c r="D34" s="1010"/>
      <c r="E34" s="1010">
        <f>+'Exh F'!F32+'Exhibit G state'!F22</f>
        <v>111</v>
      </c>
      <c r="F34" s="1010"/>
      <c r="G34" s="1010">
        <f>+'Exh F'!H32+'Exhibit G state'!H22</f>
        <v>112.4</v>
      </c>
      <c r="H34" s="1010"/>
      <c r="I34" s="1010">
        <f>+'Exh F'!J32+'Exhibit G state'!J22</f>
        <v>124.10000000000001</v>
      </c>
      <c r="J34" s="1010"/>
      <c r="K34" s="1010">
        <f>+'Exh F'!L32+'Exhibit G state'!L22</f>
        <v>120.5</v>
      </c>
      <c r="L34" s="435"/>
      <c r="M34" s="1010">
        <f>+'Exh F'!N32+'Exhibit G state'!N22</f>
        <v>119.3</v>
      </c>
      <c r="N34" s="435"/>
      <c r="O34" s="1010">
        <f>+'Exh F'!P32+'Exhibit G state'!P22</f>
        <v>116.9</v>
      </c>
      <c r="P34" s="435"/>
      <c r="Q34" s="1007"/>
      <c r="R34" s="435"/>
      <c r="S34" s="1007"/>
      <c r="T34" s="435"/>
      <c r="U34" s="1007"/>
      <c r="V34" s="435"/>
      <c r="W34" s="1007"/>
      <c r="X34" s="435"/>
      <c r="Y34" s="1007"/>
      <c r="Z34" s="435"/>
      <c r="AA34" s="2199"/>
      <c r="AB34" s="1010">
        <f t="shared" si="3"/>
        <v>823.9</v>
      </c>
      <c r="AC34" s="435"/>
      <c r="AD34" s="1009"/>
      <c r="AE34" s="435">
        <f>+'Exh F'!AF32+'Exhibit G state'!AH22</f>
        <v>904.5</v>
      </c>
      <c r="AF34" s="2382"/>
      <c r="AG34" s="2382"/>
      <c r="AH34" s="1214">
        <f t="shared" si="4"/>
        <v>-80.599999999999994</v>
      </c>
      <c r="AI34" s="2362"/>
      <c r="AJ34" s="2201">
        <f t="shared" si="5"/>
        <v>-8.8999999999999996E-2</v>
      </c>
    </row>
    <row r="35" spans="1:36" ht="15">
      <c r="A35" s="1313" t="s">
        <v>1518</v>
      </c>
      <c r="B35" s="435"/>
      <c r="C35" s="1010">
        <f>+'Exh F'!D33+'Exhibit G state'!D23</f>
        <v>8.4</v>
      </c>
      <c r="D35" s="1010"/>
      <c r="E35" s="1010">
        <f>+'Exh F'!F33+'Exhibit G state'!F23</f>
        <v>10.1</v>
      </c>
      <c r="F35" s="1010"/>
      <c r="G35" s="1010">
        <f>+'Exh F'!H33+'Exhibit G state'!H23</f>
        <v>7.7</v>
      </c>
      <c r="H35" s="1010"/>
      <c r="I35" s="1010">
        <f>+'Exh F'!J33+'Exhibit G state'!J23</f>
        <v>8.5</v>
      </c>
      <c r="J35" s="1010"/>
      <c r="K35" s="1010">
        <f>+'Exh F'!L33+'Exhibit G state'!L23</f>
        <v>9.9</v>
      </c>
      <c r="L35" s="435"/>
      <c r="M35" s="1010">
        <f>+'Exh F'!N33+'Exhibit G state'!N23</f>
        <v>8.9</v>
      </c>
      <c r="N35" s="435"/>
      <c r="O35" s="1010">
        <f>+'Exh F'!P33+'Exhibit G state'!P23</f>
        <v>9.1999999999999993</v>
      </c>
      <c r="P35" s="435"/>
      <c r="Q35" s="1007"/>
      <c r="R35" s="435"/>
      <c r="S35" s="1007"/>
      <c r="T35" s="435"/>
      <c r="U35" s="1007"/>
      <c r="V35" s="435"/>
      <c r="W35" s="1007"/>
      <c r="X35" s="435"/>
      <c r="Y35" s="1007"/>
      <c r="Z35" s="435"/>
      <c r="AA35" s="2199"/>
      <c r="AB35" s="1010">
        <f t="shared" si="3"/>
        <v>62.7</v>
      </c>
      <c r="AC35" s="435"/>
      <c r="AD35" s="1009"/>
      <c r="AE35" s="435">
        <f>+'Exh F'!AF33+'Exhibit G state'!AH23</f>
        <v>60</v>
      </c>
      <c r="AF35" s="2382"/>
      <c r="AG35" s="2382"/>
      <c r="AH35" s="1214">
        <f t="shared" si="4"/>
        <v>2.7</v>
      </c>
      <c r="AI35" s="2362"/>
      <c r="AJ35" s="2201">
        <f t="shared" si="5"/>
        <v>4.4999999999999998E-2</v>
      </c>
    </row>
    <row r="36" spans="1:36" ht="15">
      <c r="A36" s="1313" t="s">
        <v>1519</v>
      </c>
      <c r="B36" s="435"/>
      <c r="C36" s="1010">
        <f>+'Exh F'!D34+'Exhibit G state'!D24</f>
        <v>19.399999999999999</v>
      </c>
      <c r="D36" s="1010"/>
      <c r="E36" s="1010">
        <f>+'Exh F'!F34+'Exhibit G state'!F24</f>
        <v>19</v>
      </c>
      <c r="F36" s="1010"/>
      <c r="G36" s="1010">
        <f>+'Exh F'!H34+'Exhibit G state'!H24</f>
        <v>22.4</v>
      </c>
      <c r="H36" s="1010"/>
      <c r="I36" s="1010">
        <f>+'Exh F'!J34+'Exhibit G state'!J24</f>
        <v>26.8</v>
      </c>
      <c r="J36" s="1010"/>
      <c r="K36" s="1010">
        <f>+'Exh F'!L34+'Exhibit G state'!L24</f>
        <v>18.7</v>
      </c>
      <c r="L36" s="435"/>
      <c r="M36" s="1010">
        <f>+'Exh F'!N34+'Exhibit G state'!N24</f>
        <v>22.1</v>
      </c>
      <c r="N36" s="435"/>
      <c r="O36" s="1010">
        <f>+'Exh F'!P34+'Exhibit G state'!P24</f>
        <v>18.899999999999999</v>
      </c>
      <c r="P36" s="435"/>
      <c r="Q36" s="1007"/>
      <c r="R36" s="435"/>
      <c r="S36" s="1007"/>
      <c r="T36" s="435"/>
      <c r="U36" s="1007"/>
      <c r="V36" s="435"/>
      <c r="W36" s="1007"/>
      <c r="X36" s="435"/>
      <c r="Y36" s="1007"/>
      <c r="Z36" s="435"/>
      <c r="AA36" s="2199"/>
      <c r="AB36" s="1010">
        <f t="shared" si="3"/>
        <v>147.30000000000001</v>
      </c>
      <c r="AC36" s="435"/>
      <c r="AD36" s="1009"/>
      <c r="AE36" s="435">
        <f>+'Exh F'!AF34+'Exhibit G state'!AH24</f>
        <v>146.69999999999999</v>
      </c>
      <c r="AF36" s="2382"/>
      <c r="AG36" s="2382"/>
      <c r="AH36" s="1214">
        <f t="shared" si="4"/>
        <v>0.6</v>
      </c>
      <c r="AI36" s="2362"/>
      <c r="AJ36" s="2201">
        <f t="shared" si="5"/>
        <v>4.0000000000000001E-3</v>
      </c>
    </row>
    <row r="37" spans="1:36" ht="15">
      <c r="A37" s="1313" t="s">
        <v>1520</v>
      </c>
      <c r="B37" s="435"/>
      <c r="C37" s="1010">
        <f>+'Exh F'!D35+'Exhibit G state'!D25</f>
        <v>0</v>
      </c>
      <c r="D37" s="1010"/>
      <c r="E37" s="1010">
        <f>+'Exh F'!F35+'Exhibit G state'!F25</f>
        <v>0</v>
      </c>
      <c r="F37" s="1010"/>
      <c r="G37" s="1010">
        <f>+'Exh F'!H35+'Exhibit G state'!H25</f>
        <v>0</v>
      </c>
      <c r="H37" s="1010"/>
      <c r="I37" s="1010">
        <f>+'Exh F'!J35+'Exhibit G state'!J25</f>
        <v>0</v>
      </c>
      <c r="J37" s="1010"/>
      <c r="K37" s="1010">
        <f>+'Exh F'!L35+'Exhibit G state'!L25</f>
        <v>0</v>
      </c>
      <c r="L37" s="435"/>
      <c r="M37" s="1010">
        <f>+'Exh F'!N35+'Exhibit G state'!N25</f>
        <v>0</v>
      </c>
      <c r="N37" s="435"/>
      <c r="O37" s="1010">
        <f>+'Exh F'!P35+'Exhibit G state'!P25</f>
        <v>0</v>
      </c>
      <c r="P37" s="435"/>
      <c r="Q37" s="1007"/>
      <c r="R37" s="435"/>
      <c r="S37" s="1007"/>
      <c r="T37" s="435"/>
      <c r="U37" s="1007"/>
      <c r="V37" s="435"/>
      <c r="W37" s="1007"/>
      <c r="X37" s="435"/>
      <c r="Y37" s="1007"/>
      <c r="Z37" s="435"/>
      <c r="AA37" s="2199"/>
      <c r="AB37" s="1010">
        <f t="shared" si="3"/>
        <v>0</v>
      </c>
      <c r="AC37" s="435"/>
      <c r="AD37" s="1009"/>
      <c r="AE37" s="1010">
        <f>+'Exh F'!AF35+'Exhibit G state'!AH25</f>
        <v>0</v>
      </c>
      <c r="AF37" s="2382"/>
      <c r="AG37" s="2382"/>
      <c r="AH37" s="1214">
        <f t="shared" si="4"/>
        <v>0</v>
      </c>
      <c r="AI37" s="2362"/>
      <c r="AJ37" s="2040">
        <f>ROUND(IF(AE37=0,0,AH37/(AE37)),3)</f>
        <v>0</v>
      </c>
    </row>
    <row r="38" spans="1:36" ht="15">
      <c r="A38" s="2386" t="s">
        <v>1521</v>
      </c>
      <c r="B38" s="435"/>
      <c r="C38" s="1010">
        <f>+'Exh F'!D36+'Exhibit G state'!D26</f>
        <v>20.9</v>
      </c>
      <c r="D38" s="1010"/>
      <c r="E38" s="1010">
        <f>+'Exh F'!F36+'Exhibit G state'!F26</f>
        <v>0.3</v>
      </c>
      <c r="F38" s="1010"/>
      <c r="G38" s="1010">
        <f>+'Exh F'!H36+'Exhibit G state'!H26</f>
        <v>0.4</v>
      </c>
      <c r="H38" s="1010"/>
      <c r="I38" s="1010">
        <f>+'Exh F'!J36+'Exhibit G state'!J26</f>
        <v>20.399999999999999</v>
      </c>
      <c r="J38" s="1010"/>
      <c r="K38" s="1010">
        <f>+'Exh F'!L36+'Exhibit G state'!L26</f>
        <v>0.7</v>
      </c>
      <c r="L38" s="435"/>
      <c r="M38" s="1010">
        <f>+'Exh F'!N36+'Exhibit G state'!N26</f>
        <v>0.5</v>
      </c>
      <c r="N38" s="435"/>
      <c r="O38" s="1010">
        <f>+'Exh F'!P36+'Exhibit G state'!P26</f>
        <v>18.8</v>
      </c>
      <c r="P38" s="435"/>
      <c r="Q38" s="1007"/>
      <c r="R38" s="435"/>
      <c r="S38" s="1007"/>
      <c r="T38" s="435"/>
      <c r="U38" s="1007"/>
      <c r="V38" s="435"/>
      <c r="W38" s="1007"/>
      <c r="X38" s="435"/>
      <c r="Y38" s="1007"/>
      <c r="Z38" s="435"/>
      <c r="AA38" s="2199"/>
      <c r="AB38" s="1010">
        <f t="shared" si="3"/>
        <v>62</v>
      </c>
      <c r="AC38" s="435"/>
      <c r="AD38" s="1009"/>
      <c r="AE38" s="435">
        <f>+'Exh F'!AF36+'Exhibit G state'!AH26</f>
        <v>62.1</v>
      </c>
      <c r="AF38" s="2382"/>
      <c r="AG38" s="2382"/>
      <c r="AH38" s="1214">
        <f t="shared" si="4"/>
        <v>-0.1</v>
      </c>
      <c r="AI38" s="2362"/>
      <c r="AJ38" s="2201">
        <f t="shared" si="5"/>
        <v>-2E-3</v>
      </c>
    </row>
    <row r="39" spans="1:36" ht="15.75">
      <c r="A39" s="594" t="s">
        <v>1514</v>
      </c>
      <c r="B39" s="435"/>
      <c r="C39" s="489">
        <f>ROUND(SUM(C32:C38),1)</f>
        <v>1156.5999999999999</v>
      </c>
      <c r="D39" s="435"/>
      <c r="E39" s="489">
        <f>ROUND(SUM(E32:E38),1)</f>
        <v>1117.5</v>
      </c>
      <c r="F39" s="435"/>
      <c r="G39" s="489">
        <f>ROUND(SUM(G32:G38),1)</f>
        <v>1438.7</v>
      </c>
      <c r="H39" s="435"/>
      <c r="I39" s="489">
        <f>ROUND(SUM(I32:I38),1)</f>
        <v>1183.0999999999999</v>
      </c>
      <c r="J39" s="435"/>
      <c r="K39" s="489">
        <f>ROUND(SUM(K32:K38),1)</f>
        <v>1145.3</v>
      </c>
      <c r="L39" s="435"/>
      <c r="M39" s="489">
        <f>ROUND(SUM(M32:M38),1)</f>
        <v>1488.4</v>
      </c>
      <c r="N39" s="435"/>
      <c r="O39" s="489">
        <f>ROUND(SUM(O32:O38),1)</f>
        <v>1160.5999999999999</v>
      </c>
      <c r="P39" s="435"/>
      <c r="Q39" s="489">
        <f>ROUND(SUM(Q32:Q38),1)</f>
        <v>0</v>
      </c>
      <c r="R39" s="435"/>
      <c r="S39" s="489">
        <f>ROUND(SUM(S32:S38),1)</f>
        <v>0</v>
      </c>
      <c r="T39" s="435"/>
      <c r="U39" s="489">
        <f>ROUND(SUM(U32:U38),1)</f>
        <v>0</v>
      </c>
      <c r="V39" s="435"/>
      <c r="W39" s="489">
        <f>ROUND(SUM(W32:W38),1)</f>
        <v>0</v>
      </c>
      <c r="X39" s="435"/>
      <c r="Y39" s="489">
        <f>ROUND(SUM(Y32:Y38),1)</f>
        <v>0</v>
      </c>
      <c r="Z39" s="435"/>
      <c r="AA39" s="2199"/>
      <c r="AB39" s="489">
        <f>ROUND(SUM(AB32:AB38),1)</f>
        <v>8690.2000000000007</v>
      </c>
      <c r="AC39" s="435"/>
      <c r="AD39" s="1009"/>
      <c r="AE39" s="489">
        <f>ROUND(SUM(AE32:AE38),1)</f>
        <v>8523.4</v>
      </c>
      <c r="AF39" s="2382"/>
      <c r="AG39" s="2382"/>
      <c r="AH39" s="489">
        <f>ROUND(SUM(AH32:AH38),1)</f>
        <v>166.8</v>
      </c>
      <c r="AI39" s="2361"/>
      <c r="AJ39" s="533">
        <f t="shared" si="5"/>
        <v>0.02</v>
      </c>
    </row>
    <row r="40" spans="1:36" ht="15">
      <c r="A40" s="2346" t="s">
        <v>1570</v>
      </c>
      <c r="B40" s="435"/>
      <c r="C40" s="435"/>
      <c r="D40" s="435"/>
      <c r="E40" s="435"/>
      <c r="F40" s="435"/>
      <c r="G40" s="435"/>
      <c r="H40" s="435"/>
      <c r="I40" s="435"/>
      <c r="J40" s="435"/>
      <c r="K40" s="435"/>
      <c r="L40" s="435"/>
      <c r="M40" s="435"/>
      <c r="N40" s="435"/>
      <c r="O40" s="1007"/>
      <c r="P40" s="435"/>
      <c r="Q40" s="1007"/>
      <c r="R40" s="435"/>
      <c r="S40" s="1007"/>
      <c r="T40" s="435"/>
      <c r="U40" s="1007"/>
      <c r="V40" s="435"/>
      <c r="W40" s="1007"/>
      <c r="X40" s="435"/>
      <c r="Y40" s="1007"/>
      <c r="Z40" s="435"/>
      <c r="AA40" s="2199"/>
      <c r="AB40" s="435"/>
      <c r="AC40" s="435"/>
      <c r="AD40" s="1009"/>
      <c r="AE40" s="435"/>
      <c r="AF40" s="2382"/>
      <c r="AG40" s="2382"/>
      <c r="AH40" s="1857"/>
      <c r="AI40" s="435"/>
      <c r="AJ40" s="1857"/>
    </row>
    <row r="41" spans="1:36" ht="15">
      <c r="A41" s="1313" t="s">
        <v>1523</v>
      </c>
      <c r="B41" s="435"/>
      <c r="C41" s="1010">
        <f>+'Exh F'!D39+'Exhibit G state'!D29</f>
        <v>138.69999999999999</v>
      </c>
      <c r="D41" s="1010"/>
      <c r="E41" s="1010">
        <f>+'Exh F'!F39+'Exhibit G state'!F29</f>
        <v>52.699999999999996</v>
      </c>
      <c r="F41" s="1010"/>
      <c r="G41" s="1010">
        <f>+'Exh F'!H39+'Exhibit G state'!H29</f>
        <v>491.20000000000005</v>
      </c>
      <c r="H41" s="1010"/>
      <c r="I41" s="1010">
        <f>+'Exh F'!J39+'Exhibit G state'!J29</f>
        <v>94.6</v>
      </c>
      <c r="J41" s="1010"/>
      <c r="K41" s="1010">
        <f>+'Exh F'!L39+'Exhibit G state'!L29</f>
        <v>25.6</v>
      </c>
      <c r="L41" s="1010"/>
      <c r="M41" s="1010">
        <f>+'Exh F'!N39+'Exhibit G state'!N29</f>
        <v>461</v>
      </c>
      <c r="N41" s="435"/>
      <c r="O41" s="1010">
        <f>+'Exh F'!P39+'Exhibit G state'!P29</f>
        <v>81.100000000000009</v>
      </c>
      <c r="P41" s="435"/>
      <c r="Q41" s="1007"/>
      <c r="R41" s="435"/>
      <c r="S41" s="1007"/>
      <c r="T41" s="435"/>
      <c r="U41" s="1007"/>
      <c r="V41" s="435"/>
      <c r="W41" s="1007"/>
      <c r="X41" s="435"/>
      <c r="Y41" s="1007"/>
      <c r="Z41" s="435"/>
      <c r="AA41" s="2199"/>
      <c r="AB41" s="1010">
        <f>ROUND(SUM(C41:Y41),1)</f>
        <v>1344.9</v>
      </c>
      <c r="AC41" s="435"/>
      <c r="AD41" s="1009"/>
      <c r="AE41" s="435">
        <f>+'Exh F'!AF39+'Exhibit G state'!AH29</f>
        <v>1682.1</v>
      </c>
      <c r="AF41" s="2382"/>
      <c r="AG41" s="2382"/>
      <c r="AH41" s="1214">
        <f t="shared" ref="AH41:AH53" si="6">ROUND(SUM(+AB41-AE41),1)</f>
        <v>-337.2</v>
      </c>
      <c r="AI41" s="2362"/>
      <c r="AJ41" s="2201">
        <f t="shared" ref="AJ41:AJ53" si="7">ROUND(SUM(+AH41/AE41),3)</f>
        <v>-0.2</v>
      </c>
    </row>
    <row r="42" spans="1:36" ht="15">
      <c r="A42" s="1313" t="s">
        <v>1524</v>
      </c>
      <c r="B42" s="435"/>
      <c r="C42" s="1010">
        <f>+'Exhibit G state'!D30+'Exh F'!D40</f>
        <v>1.6</v>
      </c>
      <c r="D42" s="1010"/>
      <c r="E42" s="1010">
        <f>+'Exhibit G state'!F30+'Exh F'!F40</f>
        <v>3.5</v>
      </c>
      <c r="F42" s="1010"/>
      <c r="G42" s="1010">
        <f>+'Exhibit G state'!H30+'Exh F'!H40</f>
        <v>140.6</v>
      </c>
      <c r="H42" s="1010"/>
      <c r="I42" s="1010">
        <f>+'Exhibit G state'!J30+'Exh F'!J40</f>
        <v>1.5999999999999999</v>
      </c>
      <c r="J42" s="1010"/>
      <c r="K42" s="1010">
        <f>+'Exhibit G state'!L30+'Exh F'!L40</f>
        <v>-0.6</v>
      </c>
      <c r="L42" s="1010"/>
      <c r="M42" s="1010">
        <f>+'Exhibit G state'!N30+'Exh F'!N40</f>
        <v>151.19999999999999</v>
      </c>
      <c r="N42" s="435"/>
      <c r="O42" s="1010">
        <f>+'Exhibit G state'!P30+'Exh F'!P40</f>
        <v>3.7</v>
      </c>
      <c r="P42" s="435"/>
      <c r="Q42" s="1007"/>
      <c r="R42" s="435"/>
      <c r="S42" s="1007"/>
      <c r="T42" s="435"/>
      <c r="U42" s="1007"/>
      <c r="V42" s="435"/>
      <c r="W42" s="1007"/>
      <c r="X42" s="435"/>
      <c r="Y42" s="1007"/>
      <c r="Z42" s="435"/>
      <c r="AA42" s="2199"/>
      <c r="AB42" s="1010">
        <f>ROUND(SUM(C42:Y42),1)</f>
        <v>301.60000000000002</v>
      </c>
      <c r="AC42" s="435"/>
      <c r="AD42" s="1009"/>
      <c r="AE42" s="435">
        <f>+'Exhibit G state'!AH30+'Exh F'!AF40</f>
        <v>288.3</v>
      </c>
      <c r="AF42" s="2382"/>
      <c r="AG42" s="2382"/>
      <c r="AH42" s="1214">
        <f t="shared" si="6"/>
        <v>13.3</v>
      </c>
      <c r="AI42" s="2362"/>
      <c r="AJ42" s="2201">
        <f t="shared" si="7"/>
        <v>4.5999999999999999E-2</v>
      </c>
    </row>
    <row r="43" spans="1:36" ht="15">
      <c r="A43" s="1313" t="s">
        <v>1525</v>
      </c>
      <c r="B43" s="435"/>
      <c r="C43" s="1010">
        <f>+'Exh F'!D41+'Exhibit G state'!D31</f>
        <v>4.7</v>
      </c>
      <c r="D43" s="1010"/>
      <c r="E43" s="1010">
        <f>+'Exh F'!F41+'Exhibit G state'!F31</f>
        <v>3.4</v>
      </c>
      <c r="F43" s="1010"/>
      <c r="G43" s="1010">
        <f>+'Exh F'!H41+'Exhibit G state'!H31</f>
        <v>278.39999999999998</v>
      </c>
      <c r="H43" s="1010"/>
      <c r="I43" s="1010">
        <f>+'Exh F'!J41+'Exhibit G state'!J31</f>
        <v>2.6000000000000005</v>
      </c>
      <c r="J43" s="1010"/>
      <c r="K43" s="1010">
        <f>+'Exh F'!L41+'Exhibit G state'!L31</f>
        <v>3.9</v>
      </c>
      <c r="L43" s="1010"/>
      <c r="M43" s="1010">
        <f>+'Exh F'!N41+'Exhibit G state'!N31</f>
        <v>304.2</v>
      </c>
      <c r="N43" s="435"/>
      <c r="O43" s="1010">
        <f>+'Exh F'!P41+'Exhibit G state'!P31</f>
        <v>-2.5</v>
      </c>
      <c r="P43" s="435"/>
      <c r="Q43" s="1007"/>
      <c r="R43" s="435"/>
      <c r="S43" s="1007"/>
      <c r="T43" s="435"/>
      <c r="U43" s="1007"/>
      <c r="V43" s="435"/>
      <c r="W43" s="1007"/>
      <c r="X43" s="435"/>
      <c r="Y43" s="1007"/>
      <c r="Z43" s="435"/>
      <c r="AA43" s="2199"/>
      <c r="AB43" s="1010">
        <f>ROUND(SUM(C43:Y43),1)</f>
        <v>594.70000000000005</v>
      </c>
      <c r="AC43" s="435"/>
      <c r="AD43" s="1009"/>
      <c r="AE43" s="435">
        <f>+'Exh F'!AF41+'Exhibit G state'!AH31</f>
        <v>589.29999999999995</v>
      </c>
      <c r="AF43" s="2382"/>
      <c r="AG43" s="2382"/>
      <c r="AH43" s="1214">
        <f t="shared" si="6"/>
        <v>5.4</v>
      </c>
      <c r="AI43" s="2362"/>
      <c r="AJ43" s="2201">
        <f t="shared" si="7"/>
        <v>8.9999999999999993E-3</v>
      </c>
    </row>
    <row r="44" spans="1:36" ht="15">
      <c r="A44" s="1313" t="s">
        <v>1526</v>
      </c>
      <c r="B44" s="435"/>
      <c r="C44" s="1010">
        <f>+'Exh F'!D42+'Exhibit G state'!D32</f>
        <v>29.299999999999997</v>
      </c>
      <c r="D44" s="1010"/>
      <c r="E44" s="1010">
        <f>+'Exh F'!F42+'Exhibit G state'!F32</f>
        <v>363.3</v>
      </c>
      <c r="F44" s="1010"/>
      <c r="G44" s="1010">
        <f>+'Exh F'!H42+'Exhibit G state'!H32</f>
        <v>526.20000000000005</v>
      </c>
      <c r="H44" s="1010"/>
      <c r="I44" s="1010">
        <f>+'Exh F'!J42+'Exhibit G state'!J32</f>
        <v>38.5</v>
      </c>
      <c r="J44" s="1010"/>
      <c r="K44" s="1010">
        <f>+'Exh F'!L42+'Exhibit G state'!L32</f>
        <v>-85.9</v>
      </c>
      <c r="L44" s="1010"/>
      <c r="M44" s="1010">
        <f>+'Exh F'!N42+'Exhibit G state'!N32</f>
        <v>179.3</v>
      </c>
      <c r="N44" s="435"/>
      <c r="O44" s="1010">
        <f>+'Exh F'!P42+'Exhibit G state'!P32</f>
        <v>0.30000000000000071</v>
      </c>
      <c r="P44" s="435"/>
      <c r="Q44" s="1007"/>
      <c r="R44" s="435"/>
      <c r="S44" s="1007"/>
      <c r="T44" s="435"/>
      <c r="U44" s="1007"/>
      <c r="V44" s="435"/>
      <c r="W44" s="1007"/>
      <c r="X44" s="435"/>
      <c r="Y44" s="1007"/>
      <c r="Z44" s="435"/>
      <c r="AA44" s="2199"/>
      <c r="AB44" s="1010">
        <f>ROUND(SUM(C44:Y44),1)</f>
        <v>1051</v>
      </c>
      <c r="AC44" s="435"/>
      <c r="AD44" s="1009"/>
      <c r="AE44" s="435">
        <f>+'Exh F'!AF42+'Exhibit G state'!AH32</f>
        <v>537.29999999999995</v>
      </c>
      <c r="AF44" s="2382"/>
      <c r="AG44" s="2382"/>
      <c r="AH44" s="1214">
        <f t="shared" si="6"/>
        <v>513.70000000000005</v>
      </c>
      <c r="AI44" s="2362"/>
      <c r="AJ44" s="2201">
        <f t="shared" si="7"/>
        <v>0.95599999999999996</v>
      </c>
    </row>
    <row r="45" spans="1:36" ht="15">
      <c r="A45" s="1313" t="s">
        <v>1527</v>
      </c>
      <c r="B45" s="435"/>
      <c r="C45" s="1010">
        <f>+'Exh F'!D43+'Exhibit G state'!D33</f>
        <v>44.1</v>
      </c>
      <c r="D45" s="1010"/>
      <c r="E45" s="1010">
        <f>+'Exh F'!F43+'Exhibit G state'!F33</f>
        <v>40.9</v>
      </c>
      <c r="F45" s="1010"/>
      <c r="G45" s="1010">
        <f>+'Exh F'!H43+'Exhibit G state'!H33</f>
        <v>48.4</v>
      </c>
      <c r="H45" s="1010"/>
      <c r="I45" s="1010">
        <f>+'Exh F'!J43+'Exhibit G state'!J33</f>
        <v>41.9</v>
      </c>
      <c r="J45" s="1010"/>
      <c r="K45" s="1010">
        <f>+'Exh F'!L43+'Exhibit G state'!L33</f>
        <v>51.1</v>
      </c>
      <c r="L45" s="1010"/>
      <c r="M45" s="1010">
        <f>+'Exh F'!N43+'Exhibit G state'!N33</f>
        <v>46</v>
      </c>
      <c r="N45" s="435"/>
      <c r="O45" s="1010">
        <f>+'Exh F'!P43+'Exhibit G state'!P33</f>
        <v>41.8</v>
      </c>
      <c r="P45" s="435"/>
      <c r="Q45" s="1007"/>
      <c r="R45" s="435"/>
      <c r="S45" s="1007"/>
      <c r="T45" s="435"/>
      <c r="U45" s="1007"/>
      <c r="V45" s="435"/>
      <c r="W45" s="1007"/>
      <c r="X45" s="435"/>
      <c r="Y45" s="1007"/>
      <c r="Z45" s="435"/>
      <c r="AA45" s="2199"/>
      <c r="AB45" s="1010">
        <f>ROUND(SUM(C45:Y45),1)</f>
        <v>314.2</v>
      </c>
      <c r="AC45" s="435"/>
      <c r="AD45" s="1009"/>
      <c r="AE45" s="435">
        <f>+'Exh F'!AF43+'Exhibit G state'!AH33</f>
        <v>308.89999999999998</v>
      </c>
      <c r="AF45" s="2382"/>
      <c r="AG45" s="2382"/>
      <c r="AH45" s="1214">
        <f t="shared" si="6"/>
        <v>5.3</v>
      </c>
      <c r="AI45" s="2362"/>
      <c r="AJ45" s="2201">
        <f t="shared" si="7"/>
        <v>1.7000000000000001E-2</v>
      </c>
    </row>
    <row r="46" spans="1:36" ht="15.75">
      <c r="A46" s="594" t="s">
        <v>1522</v>
      </c>
      <c r="B46" s="435"/>
      <c r="C46" s="489">
        <f>ROUND(SUM(C41:C45),1)</f>
        <v>218.4</v>
      </c>
      <c r="D46" s="435"/>
      <c r="E46" s="489">
        <f>ROUND(SUM(E41:E45),1)</f>
        <v>463.8</v>
      </c>
      <c r="F46" s="435"/>
      <c r="G46" s="489">
        <f>ROUND(SUM(G41:G45),1)</f>
        <v>1484.8</v>
      </c>
      <c r="H46" s="435"/>
      <c r="I46" s="489">
        <f>ROUND(SUM(I41:I45),1)</f>
        <v>179.2</v>
      </c>
      <c r="J46" s="435"/>
      <c r="K46" s="489">
        <f>ROUND(SUM(K41:K45),1)</f>
        <v>-5.9</v>
      </c>
      <c r="L46" s="435"/>
      <c r="M46" s="489">
        <f>ROUND(SUM(M41:M45),1)</f>
        <v>1141.7</v>
      </c>
      <c r="N46" s="435"/>
      <c r="O46" s="489">
        <f>ROUND(SUM(O41:O45),1)</f>
        <v>124.4</v>
      </c>
      <c r="P46" s="435"/>
      <c r="Q46" s="489">
        <f>ROUND(SUM(Q41:Q45),1)</f>
        <v>0</v>
      </c>
      <c r="R46" s="435"/>
      <c r="S46" s="489">
        <f>ROUND(SUM(S41:S45),1)</f>
        <v>0</v>
      </c>
      <c r="T46" s="435"/>
      <c r="U46" s="489">
        <f>ROUND(SUM(U41:U45),1)</f>
        <v>0</v>
      </c>
      <c r="V46" s="435"/>
      <c r="W46" s="489">
        <f>ROUND(SUM(W41:W45),1)</f>
        <v>0</v>
      </c>
      <c r="X46" s="435"/>
      <c r="Y46" s="489">
        <f>ROUND(SUM(Y41:Y45),1)</f>
        <v>0</v>
      </c>
      <c r="Z46" s="435"/>
      <c r="AA46" s="2199"/>
      <c r="AB46" s="489">
        <f>ROUND(SUM(AB41:AB45),1)</f>
        <v>3606.4</v>
      </c>
      <c r="AC46" s="435"/>
      <c r="AD46" s="1009"/>
      <c r="AE46" s="489">
        <f>ROUND(SUM(AE41:AE45),1)</f>
        <v>3405.9</v>
      </c>
      <c r="AF46" s="2382"/>
      <c r="AG46" s="2382"/>
      <c r="AH46" s="489">
        <f>ROUND(SUM(AH41:AH45),1)</f>
        <v>200.5</v>
      </c>
      <c r="AI46" s="2361"/>
      <c r="AJ46" s="533">
        <f t="shared" si="7"/>
        <v>5.8999999999999997E-2</v>
      </c>
    </row>
    <row r="47" spans="1:36" ht="15">
      <c r="A47" s="2346" t="s">
        <v>1571</v>
      </c>
      <c r="B47" s="435"/>
      <c r="C47" s="435"/>
      <c r="D47" s="435"/>
      <c r="E47" s="435"/>
      <c r="F47" s="435"/>
      <c r="G47" s="435"/>
      <c r="H47" s="435"/>
      <c r="I47" s="435"/>
      <c r="J47" s="435"/>
      <c r="K47" s="435"/>
      <c r="L47" s="435"/>
      <c r="M47" s="435"/>
      <c r="N47" s="435"/>
      <c r="O47" s="1007"/>
      <c r="P47" s="435"/>
      <c r="Q47" s="1007"/>
      <c r="R47" s="435"/>
      <c r="S47" s="1007"/>
      <c r="T47" s="435"/>
      <c r="U47" s="1007"/>
      <c r="V47" s="435"/>
      <c r="W47" s="1007"/>
      <c r="X47" s="435"/>
      <c r="Y47" s="1007"/>
      <c r="Z47" s="435"/>
      <c r="AA47" s="2199"/>
      <c r="AB47" s="435"/>
      <c r="AC47" s="435"/>
      <c r="AD47" s="1009"/>
      <c r="AE47" s="435"/>
      <c r="AF47" s="2382"/>
      <c r="AG47" s="2382"/>
      <c r="AH47" s="1857"/>
      <c r="AI47" s="435"/>
      <c r="AJ47" s="1857"/>
    </row>
    <row r="48" spans="1:36" ht="15">
      <c r="A48" s="1313" t="s">
        <v>1530</v>
      </c>
      <c r="B48" s="435"/>
      <c r="C48" s="1010">
        <f>+'Exh F'!D46</f>
        <v>0</v>
      </c>
      <c r="D48" s="1010"/>
      <c r="E48" s="1010">
        <f>+'Exh F'!F46</f>
        <v>0</v>
      </c>
      <c r="F48" s="1010"/>
      <c r="G48" s="1010">
        <f>+'Exh F'!H46</f>
        <v>0</v>
      </c>
      <c r="H48" s="1010"/>
      <c r="I48" s="1010">
        <f>+'Exh F'!J46</f>
        <v>0</v>
      </c>
      <c r="J48" s="1010"/>
      <c r="K48" s="1010">
        <f>+'Exh F'!L46</f>
        <v>0</v>
      </c>
      <c r="L48" s="435"/>
      <c r="M48" s="1010">
        <f>+'Exh F'!N46</f>
        <v>0</v>
      </c>
      <c r="N48" s="435"/>
      <c r="O48" s="1010">
        <f>+'Exh F'!P46</f>
        <v>0</v>
      </c>
      <c r="P48" s="435"/>
      <c r="Q48" s="1007"/>
      <c r="R48" s="435"/>
      <c r="S48" s="1007"/>
      <c r="T48" s="435"/>
      <c r="U48" s="1007"/>
      <c r="V48" s="435"/>
      <c r="W48" s="1007"/>
      <c r="X48" s="435"/>
      <c r="Y48" s="1007"/>
      <c r="Z48" s="435"/>
      <c r="AA48" s="2199"/>
      <c r="AB48" s="1010">
        <f t="shared" ref="AB48:AB53" si="8">ROUND(SUM(C48:Y48),1)</f>
        <v>0</v>
      </c>
      <c r="AC48" s="435"/>
      <c r="AD48" s="1009"/>
      <c r="AE48" s="435">
        <f>+'Exh F'!AF46</f>
        <v>-0.2</v>
      </c>
      <c r="AF48" s="2382"/>
      <c r="AG48" s="2382"/>
      <c r="AH48" s="1214">
        <f t="shared" si="6"/>
        <v>0.2</v>
      </c>
      <c r="AI48" s="435"/>
      <c r="AJ48" s="2201">
        <f>-ROUND(SUM(+AH48/AE48),3)</f>
        <v>1</v>
      </c>
    </row>
    <row r="49" spans="1:36" ht="15">
      <c r="A49" s="1313" t="s">
        <v>1531</v>
      </c>
      <c r="B49" s="435"/>
      <c r="C49" s="1010">
        <f>+'Exh F'!D47</f>
        <v>83.7</v>
      </c>
      <c r="D49" s="1010"/>
      <c r="E49" s="1010">
        <f>+'Exh F'!F47</f>
        <v>119.4</v>
      </c>
      <c r="F49" s="1010"/>
      <c r="G49" s="1010">
        <f>+'Exh F'!H47</f>
        <v>67.8</v>
      </c>
      <c r="H49" s="1010"/>
      <c r="I49" s="1010">
        <f>+'Exh F'!J47</f>
        <v>96.7</v>
      </c>
      <c r="J49" s="1010"/>
      <c r="K49" s="1010">
        <f>+'Exh F'!L47</f>
        <v>89</v>
      </c>
      <c r="L49" s="435"/>
      <c r="M49" s="1010">
        <f>+'Exh F'!N47</f>
        <v>104.9</v>
      </c>
      <c r="N49" s="435"/>
      <c r="O49" s="1010">
        <f>+'Exh F'!P47</f>
        <v>104.4</v>
      </c>
      <c r="P49" s="435"/>
      <c r="Q49" s="1007"/>
      <c r="R49" s="435"/>
      <c r="S49" s="1007"/>
      <c r="T49" s="435"/>
      <c r="U49" s="1007"/>
      <c r="V49" s="435"/>
      <c r="W49" s="1007"/>
      <c r="X49" s="435"/>
      <c r="Y49" s="1007"/>
      <c r="Z49" s="435"/>
      <c r="AA49" s="2199"/>
      <c r="AB49" s="1010">
        <f t="shared" si="8"/>
        <v>665.9</v>
      </c>
      <c r="AC49" s="435"/>
      <c r="AD49" s="1009"/>
      <c r="AE49" s="435">
        <f>+'Exh F'!AF47</f>
        <v>791.6</v>
      </c>
      <c r="AF49" s="2382"/>
      <c r="AG49" s="2382"/>
      <c r="AH49" s="1214">
        <f t="shared" si="6"/>
        <v>-125.7</v>
      </c>
      <c r="AI49" s="435"/>
      <c r="AJ49" s="2201">
        <f t="shared" si="7"/>
        <v>-0.159</v>
      </c>
    </row>
    <row r="50" spans="1:36" ht="15">
      <c r="A50" s="1313" t="s">
        <v>1532</v>
      </c>
      <c r="B50" s="435"/>
      <c r="C50" s="1010">
        <f>+'Exh F'!D48</f>
        <v>1</v>
      </c>
      <c r="D50" s="1010"/>
      <c r="E50" s="1010">
        <f>+'Exh F'!F48</f>
        <v>1.5</v>
      </c>
      <c r="F50" s="1010"/>
      <c r="G50" s="1010">
        <f>+'Exh F'!H48</f>
        <v>2.1</v>
      </c>
      <c r="H50" s="1010"/>
      <c r="I50" s="1010">
        <f>+'Exh F'!J48</f>
        <v>1.4</v>
      </c>
      <c r="J50" s="1010"/>
      <c r="K50" s="1010">
        <f>+'Exh F'!L48</f>
        <v>2.7</v>
      </c>
      <c r="L50" s="435"/>
      <c r="M50" s="1010">
        <f>+'Exh F'!N48</f>
        <v>2.2999999999999998</v>
      </c>
      <c r="N50" s="435"/>
      <c r="O50" s="1010">
        <f>+'Exh F'!P48</f>
        <v>1.4</v>
      </c>
      <c r="P50" s="435"/>
      <c r="Q50" s="1007"/>
      <c r="R50" s="435"/>
      <c r="S50" s="1007"/>
      <c r="T50" s="435"/>
      <c r="U50" s="1007"/>
      <c r="V50" s="435"/>
      <c r="W50" s="1007"/>
      <c r="X50" s="435"/>
      <c r="Y50" s="1007"/>
      <c r="Z50" s="435"/>
      <c r="AA50" s="2199"/>
      <c r="AB50" s="1010">
        <f t="shared" si="8"/>
        <v>12.4</v>
      </c>
      <c r="AC50" s="435"/>
      <c r="AD50" s="1009"/>
      <c r="AE50" s="435">
        <f>+'Exh F'!AF48</f>
        <v>11</v>
      </c>
      <c r="AF50" s="2382"/>
      <c r="AG50" s="2382"/>
      <c r="AH50" s="1214">
        <f t="shared" si="6"/>
        <v>1.4</v>
      </c>
      <c r="AI50" s="435"/>
      <c r="AJ50" s="2201">
        <f t="shared" si="7"/>
        <v>0.127</v>
      </c>
    </row>
    <row r="51" spans="1:36" ht="15">
      <c r="A51" s="1313" t="s">
        <v>1533</v>
      </c>
      <c r="B51" s="435"/>
      <c r="C51" s="1010">
        <f>+'Exh F'!D49+'Exhibit H'!B22</f>
        <v>73.3</v>
      </c>
      <c r="D51" s="1010"/>
      <c r="E51" s="1010">
        <f>+'Exh F'!F49+'Exhibit H'!D22</f>
        <v>72.900000000000006</v>
      </c>
      <c r="F51" s="1010"/>
      <c r="G51" s="1010">
        <f>+'Exh F'!H49+'Exhibit H'!F22</f>
        <v>78.099999999999994</v>
      </c>
      <c r="H51" s="1010"/>
      <c r="I51" s="1010">
        <f>+'Exh F'!J49+'Exhibit H'!H22</f>
        <v>69.400000000000006</v>
      </c>
      <c r="J51" s="1010"/>
      <c r="K51" s="1010">
        <f>+'Exh F'!L49+'Exhibit H'!J22</f>
        <v>84</v>
      </c>
      <c r="L51" s="435"/>
      <c r="M51" s="1010">
        <f>+'Exh F'!N49+'Exhibit H'!L22</f>
        <v>75.099999999999994</v>
      </c>
      <c r="N51" s="435"/>
      <c r="O51" s="1010">
        <f>+'Exh F'!P49+'Exhibit H'!N22</f>
        <v>80.8</v>
      </c>
      <c r="P51" s="435"/>
      <c r="Q51" s="1007"/>
      <c r="R51" s="435"/>
      <c r="S51" s="1007"/>
      <c r="T51" s="435"/>
      <c r="U51" s="1007"/>
      <c r="V51" s="435"/>
      <c r="W51" s="1007"/>
      <c r="X51" s="435"/>
      <c r="Y51" s="1007"/>
      <c r="Z51" s="435"/>
      <c r="AA51" s="2199"/>
      <c r="AB51" s="1010">
        <f t="shared" si="8"/>
        <v>533.6</v>
      </c>
      <c r="AC51" s="435"/>
      <c r="AD51" s="1009"/>
      <c r="AE51" s="435">
        <f>+'Exh F'!AF49+' Exhibit I State'!AI28+'Exhibit H'!AD22</f>
        <v>451.3</v>
      </c>
      <c r="AF51" s="2382"/>
      <c r="AG51" s="2382"/>
      <c r="AH51" s="1214">
        <f t="shared" si="6"/>
        <v>82.3</v>
      </c>
      <c r="AI51" s="435"/>
      <c r="AJ51" s="2201">
        <f t="shared" si="7"/>
        <v>0.182</v>
      </c>
    </row>
    <row r="52" spans="1:36" ht="15">
      <c r="A52" s="1313" t="s">
        <v>1534</v>
      </c>
      <c r="B52" s="435"/>
      <c r="C52" s="1010">
        <f>+'Exh F'!D50</f>
        <v>0.1</v>
      </c>
      <c r="D52" s="1010"/>
      <c r="E52" s="1010">
        <f>+'Exh F'!F50</f>
        <v>0</v>
      </c>
      <c r="F52" s="1010"/>
      <c r="G52" s="1010">
        <f>+'Exh F'!H50</f>
        <v>0</v>
      </c>
      <c r="H52" s="1010"/>
      <c r="I52" s="1010">
        <f>+'Exh F'!J50</f>
        <v>0.2</v>
      </c>
      <c r="J52" s="1010"/>
      <c r="K52" s="1010">
        <f>+'Exh F'!L50</f>
        <v>0.2</v>
      </c>
      <c r="L52" s="435"/>
      <c r="M52" s="1010">
        <f>+'Exh F'!N50</f>
        <v>0</v>
      </c>
      <c r="N52" s="435"/>
      <c r="O52" s="1010">
        <f>+'Exh F'!P50</f>
        <v>0.1</v>
      </c>
      <c r="P52" s="435"/>
      <c r="Q52" s="1007"/>
      <c r="R52" s="435"/>
      <c r="S52" s="1007"/>
      <c r="T52" s="435"/>
      <c r="U52" s="1007"/>
      <c r="V52" s="435"/>
      <c r="W52" s="1007"/>
      <c r="X52" s="435"/>
      <c r="Y52" s="1007"/>
      <c r="Z52" s="435"/>
      <c r="AA52" s="2199"/>
      <c r="AB52" s="1010">
        <f t="shared" si="8"/>
        <v>0.6</v>
      </c>
      <c r="AC52" s="435"/>
      <c r="AD52" s="1009"/>
      <c r="AE52" s="435">
        <f>+'Exh F'!AF50</f>
        <v>0.8</v>
      </c>
      <c r="AF52" s="2382"/>
      <c r="AG52" s="2382"/>
      <c r="AH52" s="1214">
        <f t="shared" si="6"/>
        <v>-0.2</v>
      </c>
      <c r="AI52" s="435"/>
      <c r="AJ52" s="2201">
        <f t="shared" si="7"/>
        <v>-0.25</v>
      </c>
    </row>
    <row r="53" spans="1:36" ht="15">
      <c r="A53" s="2386" t="s">
        <v>1535</v>
      </c>
      <c r="B53" s="435"/>
      <c r="C53" s="1010">
        <f>+'Exh F'!D51+'Exhibit G state'!D36</f>
        <v>128.80000000000001</v>
      </c>
      <c r="D53" s="1010"/>
      <c r="E53" s="1010">
        <f>+'Exh F'!F51+'Exhibit G state'!F36</f>
        <v>96.2</v>
      </c>
      <c r="F53" s="1010"/>
      <c r="G53" s="1010">
        <f>+'Exh F'!H51+'Exhibit G state'!H36</f>
        <v>79.900000000000006</v>
      </c>
      <c r="H53" s="1010"/>
      <c r="I53" s="1010">
        <f>+'Exh F'!J51+'Exhibit G state'!J36</f>
        <v>98.2</v>
      </c>
      <c r="J53" s="1010"/>
      <c r="K53" s="1010">
        <f>+'Exh F'!L51+'Exhibit G state'!L36</f>
        <v>85.1</v>
      </c>
      <c r="L53" s="435"/>
      <c r="M53" s="1010">
        <f>+'Exh F'!N51+'Exhibit G state'!N36</f>
        <v>81.8</v>
      </c>
      <c r="N53" s="435"/>
      <c r="O53" s="1010">
        <f>+'Exh F'!P51+'Exhibit G state'!P36</f>
        <v>101.6</v>
      </c>
      <c r="P53" s="435"/>
      <c r="Q53" s="1007"/>
      <c r="R53" s="435"/>
      <c r="S53" s="1007"/>
      <c r="T53" s="435"/>
      <c r="U53" s="1007"/>
      <c r="V53" s="435"/>
      <c r="W53" s="1007"/>
      <c r="X53" s="435"/>
      <c r="Y53" s="1007"/>
      <c r="Z53" s="435"/>
      <c r="AA53" s="2199"/>
      <c r="AB53" s="1010">
        <f t="shared" si="8"/>
        <v>671.6</v>
      </c>
      <c r="AC53" s="435"/>
      <c r="AD53" s="1009"/>
      <c r="AE53" s="2382">
        <f>+'Exh F'!AF51+'Exhibit G state'!AH36</f>
        <v>642.20000000000005</v>
      </c>
      <c r="AF53" s="2382"/>
      <c r="AG53" s="2382"/>
      <c r="AH53" s="1214">
        <f t="shared" si="6"/>
        <v>29.4</v>
      </c>
      <c r="AI53" s="435"/>
      <c r="AJ53" s="2201">
        <f t="shared" si="7"/>
        <v>4.5999999999999999E-2</v>
      </c>
    </row>
    <row r="54" spans="1:36" ht="15.75">
      <c r="A54" s="594" t="s">
        <v>1528</v>
      </c>
      <c r="B54" s="435"/>
      <c r="C54" s="1327">
        <f>ROUND(SUM(C48:C53),1)</f>
        <v>286.89999999999998</v>
      </c>
      <c r="D54" s="435"/>
      <c r="E54" s="1327">
        <f>ROUND(SUM(E48:E53),1)</f>
        <v>290</v>
      </c>
      <c r="F54" s="435"/>
      <c r="G54" s="1327">
        <f>ROUND(SUM(G48:G53),1)</f>
        <v>227.9</v>
      </c>
      <c r="H54" s="435"/>
      <c r="I54" s="1327">
        <f>ROUND(SUM(I48:I53),1)</f>
        <v>265.89999999999998</v>
      </c>
      <c r="J54" s="435"/>
      <c r="K54" s="1327">
        <f>ROUND(SUM(K48:K53),1)</f>
        <v>261</v>
      </c>
      <c r="L54" s="435"/>
      <c r="M54" s="1327">
        <f>ROUND(SUM(M48:M53),1)</f>
        <v>264.10000000000002</v>
      </c>
      <c r="N54" s="435"/>
      <c r="O54" s="1327">
        <f>ROUND(SUM(O48:O53),1)</f>
        <v>288.3</v>
      </c>
      <c r="P54" s="435"/>
      <c r="Q54" s="1327">
        <f>ROUND(SUM(Q48:Q53),1)</f>
        <v>0</v>
      </c>
      <c r="R54" s="435"/>
      <c r="S54" s="1327">
        <f>ROUND(SUM(S48:S53),1)</f>
        <v>0</v>
      </c>
      <c r="T54" s="435"/>
      <c r="U54" s="1327">
        <f>ROUND(SUM(U48:U53),1)</f>
        <v>0</v>
      </c>
      <c r="V54" s="435"/>
      <c r="W54" s="1327">
        <f>ROUND(SUM(W48:W53),1)</f>
        <v>0</v>
      </c>
      <c r="X54" s="435"/>
      <c r="Y54" s="1327">
        <f>ROUND(SUM(Y48:Y53),1)</f>
        <v>0</v>
      </c>
      <c r="Z54" s="435"/>
      <c r="AA54" s="2199"/>
      <c r="AB54" s="1327">
        <f>ROUND(SUM(AB48:AB53),1)</f>
        <v>1884.1</v>
      </c>
      <c r="AC54" s="435"/>
      <c r="AD54" s="1009"/>
      <c r="AE54" s="489">
        <f>ROUND(SUM(AE48:AE53),1)</f>
        <v>1896.7</v>
      </c>
      <c r="AF54" s="2382"/>
      <c r="AG54" s="2382"/>
      <c r="AH54" s="489">
        <f>ROUND(SUM(AH48:AH53),1)</f>
        <v>-12.6</v>
      </c>
      <c r="AI54" s="2361"/>
      <c r="AJ54" s="2373">
        <f>ROUND(SUM(+AH54/AE54),3)</f>
        <v>-7.0000000000000001E-3</v>
      </c>
    </row>
    <row r="55" spans="1:36" ht="15.75">
      <c r="A55" s="435"/>
      <c r="B55" s="435"/>
      <c r="C55" s="1022"/>
      <c r="D55" s="1010"/>
      <c r="E55" s="1022"/>
      <c r="F55" s="1022"/>
      <c r="G55" s="1022"/>
      <c r="H55" s="1022"/>
      <c r="I55" s="1022"/>
      <c r="J55" s="1022"/>
      <c r="K55" s="1022"/>
      <c r="L55" s="1022"/>
      <c r="M55" s="1022"/>
      <c r="N55" s="1022"/>
      <c r="O55" s="1022"/>
      <c r="P55" s="1022"/>
      <c r="Q55" s="1022"/>
      <c r="R55" s="1022"/>
      <c r="S55" s="1022"/>
      <c r="T55" s="1022"/>
      <c r="U55" s="1022"/>
      <c r="V55" s="1022"/>
      <c r="W55" s="1022"/>
      <c r="X55" s="1022"/>
      <c r="Y55" s="1022"/>
      <c r="Z55" s="1010"/>
      <c r="AA55" s="2200"/>
      <c r="AB55" s="2380"/>
      <c r="AC55" s="1010"/>
      <c r="AD55" s="1012"/>
      <c r="AE55" s="1022"/>
      <c r="AF55" s="1022"/>
      <c r="AG55" s="1022"/>
      <c r="AH55" s="1022"/>
      <c r="AI55" s="435"/>
      <c r="AJ55" s="2343"/>
    </row>
    <row r="56" spans="1:36" ht="15.75">
      <c r="A56" s="594" t="s">
        <v>1496</v>
      </c>
      <c r="B56" s="226"/>
      <c r="C56" s="198">
        <f>ROUND(SUM(C54+C46+C39+C30),1)</f>
        <v>7015.2</v>
      </c>
      <c r="D56" s="265"/>
      <c r="E56" s="198">
        <f>ROUND(SUM(E54+E46+E39+E30),1)</f>
        <v>3973.2</v>
      </c>
      <c r="F56" s="265"/>
      <c r="G56" s="198">
        <f>ROUND(SUM(G54+G46+G39+G30),1)</f>
        <v>7396.2</v>
      </c>
      <c r="H56" s="265"/>
      <c r="I56" s="198">
        <f>ROUND(SUM(I54+I46+I39+I30),1)</f>
        <v>4193.7</v>
      </c>
      <c r="J56" s="265"/>
      <c r="K56" s="198">
        <f>ROUND(SUM(K54+K46+K39+K30),1)</f>
        <v>3790.8</v>
      </c>
      <c r="L56" s="265"/>
      <c r="M56" s="198">
        <f>ROUND(SUM(M54+M46+M39+M30),1)</f>
        <v>7124.6</v>
      </c>
      <c r="N56" s="265"/>
      <c r="O56" s="631">
        <f>ROUND(SUM(O54+O46+O39+O30),1)</f>
        <v>4060.7</v>
      </c>
      <c r="P56" s="265"/>
      <c r="Q56" s="631">
        <f>ROUND(SUM(Q55:Q55),1)</f>
        <v>0</v>
      </c>
      <c r="R56" s="265"/>
      <c r="S56" s="631">
        <f>ROUND(SUM(S55:S55),1)</f>
        <v>0</v>
      </c>
      <c r="T56" s="265"/>
      <c r="U56" s="631">
        <f>ROUND(SUM(U55:U55),1)</f>
        <v>0</v>
      </c>
      <c r="V56" s="265"/>
      <c r="W56" s="631">
        <f>ROUND(SUM(W55:W55),1)</f>
        <v>0</v>
      </c>
      <c r="X56" s="372"/>
      <c r="Y56" s="631">
        <f>ROUND(SUM(Y55:Y55),1)</f>
        <v>0</v>
      </c>
      <c r="Z56" s="372"/>
      <c r="AA56" s="241"/>
      <c r="AB56" s="1031">
        <f>ROUND(SUM(C56:Y56),1)</f>
        <v>37554.400000000001</v>
      </c>
      <c r="AC56" s="265"/>
      <c r="AD56" s="254"/>
      <c r="AE56" s="631">
        <f>ROUND(SUM(+AE30+AE39+AE46+AE54),1)</f>
        <v>37806.9</v>
      </c>
      <c r="AF56" s="253"/>
      <c r="AG56" s="1330"/>
      <c r="AH56" s="631">
        <f>ROUND(+AB56-AE56,1)</f>
        <v>-252.5</v>
      </c>
      <c r="AI56" s="2176"/>
      <c r="AJ56" s="530">
        <f>ROUND(SUM(+AH56/AE56),3)</f>
        <v>-7.0000000000000001E-3</v>
      </c>
    </row>
    <row r="57" spans="1:36" ht="15">
      <c r="A57" s="435"/>
      <c r="B57" s="435"/>
      <c r="C57" s="1010"/>
      <c r="D57" s="1010"/>
      <c r="E57" s="1010"/>
      <c r="F57" s="1010"/>
      <c r="G57" s="1010"/>
      <c r="H57" s="1010"/>
      <c r="I57" s="1010"/>
      <c r="J57" s="1010"/>
      <c r="K57" s="1010"/>
      <c r="L57" s="1010"/>
      <c r="M57" s="1010"/>
      <c r="N57" s="1010"/>
      <c r="O57" s="1010"/>
      <c r="P57" s="1010"/>
      <c r="Q57" s="1010"/>
      <c r="R57" s="1010"/>
      <c r="S57" s="1010"/>
      <c r="T57" s="1010"/>
      <c r="U57" s="1010"/>
      <c r="V57" s="1010"/>
      <c r="X57" s="1010"/>
      <c r="Y57" s="1010"/>
      <c r="Z57" s="1010"/>
      <c r="AA57" s="2200"/>
      <c r="AB57" s="1010"/>
      <c r="AC57" s="1010"/>
      <c r="AD57" s="1012"/>
      <c r="AE57" s="1010"/>
      <c r="AF57" s="1022"/>
      <c r="AG57" s="1022"/>
      <c r="AH57" s="1010"/>
      <c r="AI57" s="435"/>
      <c r="AJ57" s="2201"/>
    </row>
    <row r="58" spans="1:36" ht="15.75">
      <c r="A58" s="495" t="s">
        <v>1428</v>
      </c>
      <c r="B58" s="435"/>
      <c r="C58" s="1010"/>
      <c r="D58" s="1010"/>
      <c r="E58" s="1010"/>
      <c r="F58" s="1010"/>
      <c r="G58" s="1010"/>
      <c r="H58" s="1010"/>
      <c r="I58" s="1010"/>
      <c r="J58" s="1010"/>
      <c r="K58" s="1010"/>
      <c r="L58" s="1010"/>
      <c r="M58" s="1010"/>
      <c r="N58" s="1010"/>
      <c r="O58" s="1010"/>
      <c r="P58" s="1010"/>
      <c r="Q58" s="1010"/>
      <c r="R58" s="1010"/>
      <c r="S58" s="1010"/>
      <c r="T58" s="1010"/>
      <c r="U58" s="1010"/>
      <c r="V58" s="1010"/>
      <c r="X58" s="1010"/>
      <c r="Y58" s="1010"/>
      <c r="Z58" s="1010"/>
      <c r="AA58" s="1011"/>
      <c r="AB58" s="1010"/>
      <c r="AC58" s="1010"/>
      <c r="AD58" s="1012"/>
      <c r="AE58" s="1010"/>
      <c r="AF58" s="1022"/>
      <c r="AG58" s="1022"/>
      <c r="AH58" s="1010"/>
      <c r="AI58" s="435"/>
      <c r="AJ58" s="2040"/>
    </row>
    <row r="59" spans="1:36" ht="15">
      <c r="A59" s="1979" t="s">
        <v>1561</v>
      </c>
      <c r="B59" s="435"/>
      <c r="C59" s="1010"/>
      <c r="D59" s="1010"/>
      <c r="E59" s="1010"/>
      <c r="F59" s="1010"/>
      <c r="G59" s="1010"/>
      <c r="H59" s="1010"/>
      <c r="I59" s="1010"/>
      <c r="J59" s="1010"/>
      <c r="K59" s="1010"/>
      <c r="L59" s="1010"/>
      <c r="M59" s="1010"/>
      <c r="N59" s="1010"/>
      <c r="O59" s="1010"/>
      <c r="P59" s="1010"/>
      <c r="Q59" s="1010"/>
      <c r="R59" s="1010"/>
      <c r="S59" s="1010"/>
      <c r="T59" s="1010"/>
      <c r="U59" s="1010"/>
      <c r="V59" s="1010"/>
      <c r="X59" s="1010"/>
      <c r="Y59" s="1010"/>
      <c r="Z59" s="1010"/>
      <c r="AA59" s="1011"/>
      <c r="AB59" s="1010"/>
      <c r="AC59" s="1010"/>
      <c r="AD59" s="1012"/>
      <c r="AE59" s="1010"/>
      <c r="AF59" s="1022"/>
      <c r="AG59" s="1022"/>
      <c r="AH59" s="1010"/>
      <c r="AI59" s="435"/>
      <c r="AJ59" s="2040"/>
    </row>
    <row r="60" spans="1:36" ht="15">
      <c r="A60" s="1979" t="s">
        <v>1426</v>
      </c>
      <c r="B60" s="435"/>
      <c r="C60" s="1010">
        <f>+'Exh F'!D58+'Exhibit G state'!D43</f>
        <v>1.5</v>
      </c>
      <c r="D60" s="1010"/>
      <c r="E60" s="1010">
        <f>+'Exh F'!F58+'Exhibit G state'!F43</f>
        <v>1.1000000000000001</v>
      </c>
      <c r="F60" s="1010"/>
      <c r="G60" s="1010">
        <f>+'Exh F'!H58+'Exhibit G state'!H43</f>
        <v>0.9</v>
      </c>
      <c r="H60" s="1010"/>
      <c r="I60" s="1010">
        <f>+'Exh F'!J58+'Exhibit G state'!J43</f>
        <v>1.4000000000000001</v>
      </c>
      <c r="J60" s="1010"/>
      <c r="K60" s="1010">
        <f>+'Exh F'!L58+'Exhibit G state'!L43</f>
        <v>0.70000000000000007</v>
      </c>
      <c r="L60" s="1010"/>
      <c r="M60" s="1010">
        <f>+'Exh F'!N58+'Exhibit G state'!N43</f>
        <v>1</v>
      </c>
      <c r="N60" s="1010"/>
      <c r="O60" s="1010">
        <f>+'Exh F'!P58+'Exhibit G state'!P43</f>
        <v>95</v>
      </c>
      <c r="P60" s="1010"/>
      <c r="Q60" s="1010"/>
      <c r="R60" s="1010"/>
      <c r="S60" s="1010"/>
      <c r="T60" s="1010"/>
      <c r="U60" s="1010"/>
      <c r="V60" s="1010"/>
      <c r="X60" s="1010"/>
      <c r="Y60" s="1010"/>
      <c r="Z60" s="1010"/>
      <c r="AA60" s="1011"/>
      <c r="AB60" s="1010">
        <f>ROUND(SUM(C60:Y60),1)</f>
        <v>101.6</v>
      </c>
      <c r="AC60" s="1010"/>
      <c r="AD60" s="1012"/>
      <c r="AE60" s="1010">
        <f>+'Exh F'!AF58+'Exhibit G state'!AH43</f>
        <v>78</v>
      </c>
      <c r="AF60" s="1022"/>
      <c r="AG60" s="1022"/>
      <c r="AH60" s="1010">
        <f t="shared" ref="AH60:AH98" si="9">ROUND(SUM(AB60-AE60),1)</f>
        <v>23.6</v>
      </c>
      <c r="AI60" s="435"/>
      <c r="AJ60" s="2201">
        <f t="shared" ref="AJ60:AJ98" si="10">ROUND(SUM(AH60/AE60),3)</f>
        <v>0.30299999999999999</v>
      </c>
    </row>
    <row r="61" spans="1:36" ht="15">
      <c r="A61" s="1979" t="s">
        <v>1427</v>
      </c>
      <c r="B61" s="435"/>
      <c r="C61" s="1010">
        <f>+'Exh F'!D59</f>
        <v>0.1</v>
      </c>
      <c r="D61" s="1010"/>
      <c r="E61" s="1010">
        <f>+'Exh F'!F59</f>
        <v>0</v>
      </c>
      <c r="F61" s="1010"/>
      <c r="G61" s="1010">
        <f>+'Exh F'!H59</f>
        <v>14.5</v>
      </c>
      <c r="H61" s="1010"/>
      <c r="I61" s="1010">
        <f>+'Exh F'!J59</f>
        <v>-7.9</v>
      </c>
      <c r="J61" s="1010"/>
      <c r="K61" s="1010">
        <f>+'Exh F'!L59</f>
        <v>0.2</v>
      </c>
      <c r="L61" s="1010"/>
      <c r="M61" s="1010">
        <f>+'Exh F'!N59</f>
        <v>30.5</v>
      </c>
      <c r="N61" s="1010"/>
      <c r="O61" s="1010">
        <f>+'Exh F'!P59</f>
        <v>0.3</v>
      </c>
      <c r="P61" s="1010"/>
      <c r="Q61" s="1010"/>
      <c r="R61" s="1010"/>
      <c r="S61" s="1010"/>
      <c r="T61" s="1010"/>
      <c r="U61" s="1010"/>
      <c r="V61" s="1010"/>
      <c r="X61" s="1010"/>
      <c r="Y61" s="1010"/>
      <c r="Z61" s="1010"/>
      <c r="AA61" s="1011"/>
      <c r="AB61" s="1010">
        <f>ROUND(SUM(C61:Y61),1)</f>
        <v>37.700000000000003</v>
      </c>
      <c r="AC61" s="1010"/>
      <c r="AD61" s="1012"/>
      <c r="AE61" s="1010">
        <f>+'Exh F'!AF59</f>
        <v>54</v>
      </c>
      <c r="AF61" s="1022"/>
      <c r="AG61" s="1022"/>
      <c r="AH61" s="1010">
        <f t="shared" si="9"/>
        <v>-16.3</v>
      </c>
      <c r="AI61" s="435"/>
      <c r="AJ61" s="2201">
        <f t="shared" si="10"/>
        <v>-0.30199999999999999</v>
      </c>
    </row>
    <row r="62" spans="1:36" ht="15">
      <c r="A62" s="1979" t="s">
        <v>1562</v>
      </c>
      <c r="B62" s="435"/>
      <c r="C62" s="1010"/>
      <c r="D62" s="1010"/>
      <c r="E62" s="1010"/>
      <c r="F62" s="1010"/>
      <c r="G62" s="1010"/>
      <c r="H62" s="1010"/>
      <c r="I62" s="1010"/>
      <c r="J62" s="1010"/>
      <c r="K62" s="1010"/>
      <c r="L62" s="1010"/>
      <c r="M62" s="1010"/>
      <c r="N62" s="1010"/>
      <c r="O62" s="1010"/>
      <c r="P62" s="1010"/>
      <c r="Q62" s="1010"/>
      <c r="R62" s="1010"/>
      <c r="S62" s="1010"/>
      <c r="T62" s="1010"/>
      <c r="U62" s="1010"/>
      <c r="V62" s="1010"/>
      <c r="X62" s="1010"/>
      <c r="Y62" s="1010"/>
      <c r="Z62" s="1010"/>
      <c r="AA62" s="1011"/>
      <c r="AB62" s="1010"/>
      <c r="AC62" s="1010"/>
      <c r="AD62" s="1012"/>
      <c r="AE62" s="1010"/>
      <c r="AF62" s="1022"/>
      <c r="AG62" s="1022"/>
      <c r="AH62" s="1010" t="s">
        <v>16</v>
      </c>
      <c r="AI62" s="435" t="s">
        <v>16</v>
      </c>
      <c r="AJ62" s="2040" t="s">
        <v>16</v>
      </c>
    </row>
    <row r="63" spans="1:36" ht="15">
      <c r="A63" s="1979" t="s">
        <v>1431</v>
      </c>
      <c r="B63" s="435"/>
      <c r="C63" s="1010">
        <f>+'Exh F'!D61+'Exhibit G state'!D45</f>
        <v>61</v>
      </c>
      <c r="D63" s="1010"/>
      <c r="E63" s="1010">
        <f>+'Exh F'!F61+'Exhibit G state'!F45</f>
        <v>1060.7</v>
      </c>
      <c r="F63" s="1010"/>
      <c r="G63" s="1010">
        <f>+'Exh F'!H61+'Exhibit G state'!H45</f>
        <v>148.69999999999999</v>
      </c>
      <c r="H63" s="1010"/>
      <c r="I63" s="1010">
        <f>+'Exh F'!J61+'Exhibit G state'!J45</f>
        <v>7.4</v>
      </c>
      <c r="J63" s="1010"/>
      <c r="K63" s="1010">
        <f>+'Exh F'!L61+'Exhibit G state'!L45</f>
        <v>52.2</v>
      </c>
      <c r="L63" s="1010"/>
      <c r="M63" s="1010">
        <f>+'Exh F'!N61+'Exhibit G state'!N45</f>
        <v>137.4</v>
      </c>
      <c r="N63" s="1010"/>
      <c r="O63" s="1010">
        <f>+'Exh F'!P61+'Exhibit G state'!P45</f>
        <v>20.3</v>
      </c>
      <c r="P63" s="1010"/>
      <c r="Q63" s="1010"/>
      <c r="R63" s="1010"/>
      <c r="S63" s="1010"/>
      <c r="T63" s="1010"/>
      <c r="U63" s="1010"/>
      <c r="V63" s="1010"/>
      <c r="X63" s="1010"/>
      <c r="Y63" s="1010"/>
      <c r="Z63" s="1010"/>
      <c r="AA63" s="1011"/>
      <c r="AB63" s="1010">
        <f>ROUND(SUM(C63:Y63),1)</f>
        <v>1487.7</v>
      </c>
      <c r="AC63" s="1010"/>
      <c r="AD63" s="1012"/>
      <c r="AE63" s="1010">
        <f>+'Exh F'!AF61+'Exhibit G state'!AH45</f>
        <v>728.4</v>
      </c>
      <c r="AF63" s="1022"/>
      <c r="AG63" s="1022"/>
      <c r="AH63" s="1010">
        <f t="shared" si="9"/>
        <v>759.3</v>
      </c>
      <c r="AI63" s="435"/>
      <c r="AJ63" s="2201">
        <f t="shared" si="10"/>
        <v>1.042</v>
      </c>
    </row>
    <row r="64" spans="1:36" ht="15">
      <c r="A64" s="1979" t="s">
        <v>1432</v>
      </c>
      <c r="B64" s="435"/>
      <c r="C64" s="1010">
        <f>+'Exh F'!D62+'Exhibit G state'!D46</f>
        <v>391.5</v>
      </c>
      <c r="D64" s="1010"/>
      <c r="E64" s="1010">
        <f>+'Exh F'!F62+'Exhibit G state'!F46</f>
        <v>379.90000000000003</v>
      </c>
      <c r="F64" s="1010"/>
      <c r="G64" s="1010">
        <f>+'Exh F'!H62+'Exhibit G state'!H46</f>
        <v>365.5</v>
      </c>
      <c r="H64" s="1010"/>
      <c r="I64" s="1010">
        <f>+'Exh F'!J62+'Exhibit G state'!J46</f>
        <v>450.69999999999982</v>
      </c>
      <c r="J64" s="1010"/>
      <c r="K64" s="1010">
        <f>+'Exh F'!L62+'Exhibit G state'!L46</f>
        <v>444.5</v>
      </c>
      <c r="L64" s="1010"/>
      <c r="M64" s="1010">
        <f>+'Exh F'!N62+'Exhibit G state'!N46</f>
        <v>468.1</v>
      </c>
      <c r="N64" s="1010"/>
      <c r="O64" s="1010">
        <f>+'Exh F'!P62+'Exhibit G state'!P46</f>
        <v>428.40000000000003</v>
      </c>
      <c r="P64" s="1010"/>
      <c r="Q64" s="1010"/>
      <c r="R64" s="1010"/>
      <c r="S64" s="1010"/>
      <c r="T64" s="1010"/>
      <c r="U64" s="1010"/>
      <c r="V64" s="1010"/>
      <c r="X64" s="1010"/>
      <c r="Y64" s="1010"/>
      <c r="Z64" s="1010"/>
      <c r="AA64" s="1011"/>
      <c r="AB64" s="1010">
        <f>ROUND(SUM(C64:Y64),1)</f>
        <v>2928.6</v>
      </c>
      <c r="AC64" s="1010"/>
      <c r="AD64" s="1012"/>
      <c r="AE64" s="1010">
        <f>+'Exh F'!AF62+'Exhibit G state'!AH46</f>
        <v>2841.7999999999997</v>
      </c>
      <c r="AF64" s="1022"/>
      <c r="AG64" s="1022"/>
      <c r="AH64" s="1010">
        <f t="shared" si="9"/>
        <v>86.8</v>
      </c>
      <c r="AI64" s="435"/>
      <c r="AJ64" s="2201">
        <f t="shared" si="10"/>
        <v>3.1E-2</v>
      </c>
    </row>
    <row r="65" spans="1:36" ht="15">
      <c r="A65" s="1979" t="s">
        <v>1433</v>
      </c>
      <c r="B65" s="435"/>
      <c r="C65" s="1010">
        <f>+'Exh F'!D63+'Exhibit G state'!D47</f>
        <v>0.5</v>
      </c>
      <c r="D65" s="1010"/>
      <c r="E65" s="1010">
        <f>+'Exh F'!F63+'Exhibit G state'!F47</f>
        <v>0</v>
      </c>
      <c r="F65" s="1010"/>
      <c r="G65" s="1010">
        <f>+'Exh F'!H63+'Exhibit G state'!H47</f>
        <v>0.3</v>
      </c>
      <c r="H65" s="1010"/>
      <c r="I65" s="1010">
        <f>+'Exh F'!J63+'Exhibit G state'!J47</f>
        <v>0</v>
      </c>
      <c r="J65" s="1010"/>
      <c r="K65" s="1010">
        <f>+'Exh F'!L63+'Exhibit G state'!L47</f>
        <v>0.4</v>
      </c>
      <c r="L65" s="1010"/>
      <c r="M65" s="1010">
        <f>+'Exh F'!N63+'Exhibit G state'!N47</f>
        <v>213.2</v>
      </c>
      <c r="N65" s="1010"/>
      <c r="O65" s="1010">
        <f>+'Exh F'!P63+'Exhibit G state'!P47</f>
        <v>0.9</v>
      </c>
      <c r="P65" s="1010"/>
      <c r="Q65" s="1010"/>
      <c r="R65" s="1010"/>
      <c r="S65" s="1010"/>
      <c r="T65" s="1010"/>
      <c r="U65" s="1010"/>
      <c r="V65" s="1010"/>
      <c r="X65" s="1010"/>
      <c r="Y65" s="1010"/>
      <c r="Z65" s="1010"/>
      <c r="AA65" s="1011"/>
      <c r="AB65" s="1010">
        <f>ROUND(SUM(C65:Y65),1)</f>
        <v>215.3</v>
      </c>
      <c r="AC65" s="1010"/>
      <c r="AD65" s="1012"/>
      <c r="AE65" s="1010">
        <f>+'Exh F'!AF63+'Exhibit G state'!AH47</f>
        <v>259.2</v>
      </c>
      <c r="AF65" s="1022"/>
      <c r="AG65" s="1022"/>
      <c r="AH65" s="1010">
        <f t="shared" si="9"/>
        <v>-43.9</v>
      </c>
      <c r="AI65" s="435"/>
      <c r="AJ65" s="2040">
        <f>ROUND(IF(AE65=0,0,AH65/(AE65)),3)</f>
        <v>-0.16900000000000001</v>
      </c>
    </row>
    <row r="66" spans="1:36" ht="15">
      <c r="A66" s="1979" t="s">
        <v>1434</v>
      </c>
      <c r="B66" s="435"/>
      <c r="C66" s="1010">
        <f>+'Exh F'!D64+'Exhibit G state'!D48</f>
        <v>16.5</v>
      </c>
      <c r="D66" s="1010"/>
      <c r="E66" s="1010">
        <f>+'Exh F'!F64+'Exhibit G state'!F48</f>
        <v>17.200000000000003</v>
      </c>
      <c r="F66" s="1010"/>
      <c r="G66" s="1010">
        <f>+'Exh F'!H64+'Exhibit G state'!H48</f>
        <v>17.600000000000001</v>
      </c>
      <c r="H66" s="1010"/>
      <c r="I66" s="1010">
        <f>+'Exh F'!J64+'Exhibit G state'!J48</f>
        <v>17.5</v>
      </c>
      <c r="J66" s="1010"/>
      <c r="K66" s="1010">
        <f>+'Exh F'!L64+'Exhibit G state'!L48</f>
        <v>18.199999999999996</v>
      </c>
      <c r="L66" s="1010"/>
      <c r="M66" s="1010">
        <f>+'Exh F'!N64+'Exhibit G state'!N48</f>
        <v>16.8</v>
      </c>
      <c r="N66" s="1010"/>
      <c r="O66" s="1010">
        <f>+'Exh F'!P64+'Exhibit G state'!P48</f>
        <v>17.600000000000001</v>
      </c>
      <c r="P66" s="1010"/>
      <c r="Q66" s="1010"/>
      <c r="R66" s="1010"/>
      <c r="S66" s="1010"/>
      <c r="T66" s="1010"/>
      <c r="U66" s="1010"/>
      <c r="V66" s="1010"/>
      <c r="X66" s="1010"/>
      <c r="Y66" s="1010"/>
      <c r="Z66" s="1010"/>
      <c r="AA66" s="1011"/>
      <c r="AB66" s="1010">
        <f>ROUND(SUM(C66:Y66),1)</f>
        <v>121.4</v>
      </c>
      <c r="AC66" s="1010"/>
      <c r="AD66" s="1012"/>
      <c r="AE66" s="1010">
        <f>+'Exh F'!AF64+'Exhibit G state'!AH48</f>
        <v>121.8</v>
      </c>
      <c r="AF66" s="1022"/>
      <c r="AG66" s="1022"/>
      <c r="AH66" s="1010">
        <f t="shared" si="9"/>
        <v>-0.4</v>
      </c>
      <c r="AI66" s="435"/>
      <c r="AJ66" s="2201">
        <f t="shared" si="10"/>
        <v>-3.0000000000000001E-3</v>
      </c>
    </row>
    <row r="67" spans="1:36" ht="15">
      <c r="A67" s="1979" t="s">
        <v>1567</v>
      </c>
      <c r="B67" s="435"/>
      <c r="C67" s="1010"/>
      <c r="D67" s="1010"/>
      <c r="E67" s="1010"/>
      <c r="F67" s="1010"/>
      <c r="G67" s="1010"/>
      <c r="H67" s="1010"/>
      <c r="I67" s="1010"/>
      <c r="J67" s="1010"/>
      <c r="K67" s="1010"/>
      <c r="L67" s="1010"/>
      <c r="M67" s="1010"/>
      <c r="N67" s="1010"/>
      <c r="O67" s="1010"/>
      <c r="P67" s="1010"/>
      <c r="Q67" s="1010"/>
      <c r="R67" s="1010"/>
      <c r="S67" s="1010"/>
      <c r="T67" s="1010"/>
      <c r="U67" s="1010"/>
      <c r="V67" s="1010"/>
      <c r="X67" s="1010"/>
      <c r="Y67" s="1010"/>
      <c r="Z67" s="1010"/>
      <c r="AA67" s="1011"/>
      <c r="AB67" s="1010"/>
      <c r="AC67" s="1010"/>
      <c r="AD67" s="1012"/>
      <c r="AE67" s="1010"/>
      <c r="AF67" s="1022"/>
      <c r="AG67" s="1022"/>
      <c r="AH67" s="1010"/>
      <c r="AI67" s="435"/>
      <c r="AJ67" s="2040"/>
    </row>
    <row r="68" spans="1:36" ht="15">
      <c r="A68" s="1979" t="s">
        <v>1435</v>
      </c>
      <c r="B68" s="435"/>
      <c r="C68" s="1010">
        <f>+'Exh F'!D66+'Exhibit H'!B29</f>
        <v>6.5</v>
      </c>
      <c r="D68" s="1010"/>
      <c r="E68" s="1010">
        <f>+'Exh F'!F66+'Exhibit H'!D29</f>
        <v>4.9000000000000004</v>
      </c>
      <c r="F68" s="1010"/>
      <c r="G68" s="1010">
        <f>+'Exh F'!H66+'Exhibit H'!F29</f>
        <v>4.7</v>
      </c>
      <c r="H68" s="1010"/>
      <c r="I68" s="1010">
        <f>+'Exh F'!J66+'Exhibit H'!H29</f>
        <v>5.5</v>
      </c>
      <c r="J68" s="1010"/>
      <c r="K68" s="1010">
        <f>+'Exh F'!L66+'Exhibit H'!J29</f>
        <v>4.0999999999999996</v>
      </c>
      <c r="L68" s="1010"/>
      <c r="M68" s="1010">
        <f>+'Exh F'!N66+'Exhibit H'!L29</f>
        <v>4.9000000000000004</v>
      </c>
      <c r="N68" s="1010"/>
      <c r="O68" s="1010">
        <f>+'Exh F'!P66+'Exhibit H'!N29</f>
        <v>5.8</v>
      </c>
      <c r="P68" s="1010"/>
      <c r="Q68" s="1010"/>
      <c r="R68" s="1010"/>
      <c r="S68" s="1010"/>
      <c r="T68" s="1010"/>
      <c r="U68" s="1010"/>
      <c r="V68" s="1010"/>
      <c r="X68" s="1010"/>
      <c r="Y68" s="1010"/>
      <c r="Z68" s="1010"/>
      <c r="AA68" s="1011"/>
      <c r="AB68" s="1010">
        <f t="shared" ref="AB68:AB74" si="11">ROUND(SUM(C68:Y68),1)</f>
        <v>36.4</v>
      </c>
      <c r="AC68" s="1010"/>
      <c r="AD68" s="1012"/>
      <c r="AE68" s="1010">
        <f>+'Exh F'!AF66+'Exhibit H'!AD29</f>
        <v>40.6</v>
      </c>
      <c r="AF68" s="1022"/>
      <c r="AG68" s="1022"/>
      <c r="AH68" s="1010">
        <f t="shared" si="9"/>
        <v>-4.2</v>
      </c>
      <c r="AI68" s="435"/>
      <c r="AJ68" s="2201">
        <f t="shared" si="10"/>
        <v>-0.10299999999999999</v>
      </c>
    </row>
    <row r="69" spans="1:36" ht="15">
      <c r="A69" s="1979" t="s">
        <v>1436</v>
      </c>
      <c r="B69" s="435"/>
      <c r="C69" s="1010">
        <f>+'Exh F'!D67+'Exhibit G state'!D50+'Exhibit H'!B30</f>
        <v>62.800000000000004</v>
      </c>
      <c r="D69" s="1010"/>
      <c r="E69" s="1010">
        <f>+'Exh F'!F67+'Exhibit G state'!F50+'Exhibit H'!D30</f>
        <v>62.599999999999994</v>
      </c>
      <c r="F69" s="1010"/>
      <c r="G69" s="1010">
        <f>+'Exh F'!H67+'Exhibit G state'!H50+'Exhibit H'!F30</f>
        <v>117.1</v>
      </c>
      <c r="H69" s="1010"/>
      <c r="I69" s="1010">
        <f>+'Exh F'!J67+'Exhibit G state'!J50+'Exhibit H'!H30</f>
        <v>64.699999999999974</v>
      </c>
      <c r="J69" s="1010"/>
      <c r="K69" s="1010">
        <f>+'Exh F'!L67+'Exhibit G state'!L50+'Exhibit H'!J30</f>
        <v>93.5</v>
      </c>
      <c r="L69" s="1010"/>
      <c r="M69" s="1010">
        <f>+'Exh F'!N67+'Exhibit G state'!N50+'Exhibit H'!L30</f>
        <v>216.70000000000002</v>
      </c>
      <c r="N69" s="1010"/>
      <c r="O69" s="1010">
        <f>+'Exh F'!P67+'Exhibit G state'!P50+'Exhibit H'!N30</f>
        <v>108</v>
      </c>
      <c r="P69" s="1010"/>
      <c r="Q69" s="1010"/>
      <c r="R69" s="1010"/>
      <c r="S69" s="1010"/>
      <c r="T69" s="1010"/>
      <c r="U69" s="1010"/>
      <c r="V69" s="1010"/>
      <c r="X69" s="1010"/>
      <c r="Y69" s="1010"/>
      <c r="Z69" s="1010"/>
      <c r="AA69" s="1011"/>
      <c r="AB69" s="1010">
        <f t="shared" si="11"/>
        <v>725.4</v>
      </c>
      <c r="AC69" s="1010"/>
      <c r="AD69" s="1012"/>
      <c r="AE69" s="1010">
        <f>+'Exh F'!AF67+'Exhibit G state'!AH50+'Exhibit H'!AD30</f>
        <v>755.09999999999991</v>
      </c>
      <c r="AF69" s="1022"/>
      <c r="AG69" s="1022"/>
      <c r="AH69" s="1010">
        <f t="shared" si="9"/>
        <v>-29.7</v>
      </c>
      <c r="AI69" s="435"/>
      <c r="AJ69" s="2201">
        <f t="shared" si="10"/>
        <v>-3.9E-2</v>
      </c>
    </row>
    <row r="70" spans="1:36" ht="15">
      <c r="A70" s="1979" t="s">
        <v>1437</v>
      </c>
      <c r="B70" s="435"/>
      <c r="C70" s="1010">
        <f>+'Exh F'!D68+'Exhibit G state'!D51+'Exhibit H'!B31</f>
        <v>22.9</v>
      </c>
      <c r="D70" s="1010"/>
      <c r="E70" s="1010">
        <f>+'Exh F'!F68+'Exhibit G state'!F51+'Exhibit H'!D31</f>
        <v>17.600000000000001</v>
      </c>
      <c r="F70" s="1010"/>
      <c r="G70" s="1010">
        <f>+'Exh F'!H68+'Exhibit G state'!H51+'Exhibit H'!F31</f>
        <v>24.799999999999997</v>
      </c>
      <c r="H70" s="1010"/>
      <c r="I70" s="1010">
        <f>+'Exh F'!J68+'Exhibit G state'!J51+'Exhibit H'!H31</f>
        <v>19.8</v>
      </c>
      <c r="J70" s="1010"/>
      <c r="K70" s="1010">
        <f>+'Exh F'!L68+'Exhibit G state'!L51+'Exhibit H'!J31</f>
        <v>4.5</v>
      </c>
      <c r="L70" s="1010"/>
      <c r="M70" s="1010">
        <f>+'Exh F'!N68+'Exhibit G state'!N51+'Exhibit H'!L31</f>
        <v>18.900000000000002</v>
      </c>
      <c r="N70" s="1010"/>
      <c r="O70" s="1010">
        <f>+'Exh F'!P68+'Exhibit G state'!P51+'Exhibit H'!N31</f>
        <v>31.900000000000002</v>
      </c>
      <c r="P70" s="1010"/>
      <c r="Q70" s="1010"/>
      <c r="R70" s="1010"/>
      <c r="S70" s="1010"/>
      <c r="T70" s="1010"/>
      <c r="U70" s="1010"/>
      <c r="V70" s="1010"/>
      <c r="X70" s="1010"/>
      <c r="Y70" s="1010"/>
      <c r="Z70" s="1010"/>
      <c r="AA70" s="1011"/>
      <c r="AB70" s="1010">
        <f t="shared" si="11"/>
        <v>140.4</v>
      </c>
      <c r="AC70" s="1010"/>
      <c r="AD70" s="1012"/>
      <c r="AE70" s="1010">
        <f>+'Exh F'!AF68+'Exhibit G state'!AH51+'Exhibit H'!AD31</f>
        <v>157.4</v>
      </c>
      <c r="AF70" s="1022"/>
      <c r="AG70" s="1022"/>
      <c r="AH70" s="1010">
        <f t="shared" si="9"/>
        <v>-17</v>
      </c>
      <c r="AI70" s="435"/>
      <c r="AJ70" s="2201">
        <f t="shared" si="10"/>
        <v>-0.108</v>
      </c>
    </row>
    <row r="71" spans="1:36" ht="15">
      <c r="A71" s="1979" t="s">
        <v>1438</v>
      </c>
      <c r="B71" s="435"/>
      <c r="C71" s="1010">
        <f>+'Exh F'!D69+'Exhibit G state'!D52+'Exhibit H'!B32</f>
        <v>0.1</v>
      </c>
      <c r="D71" s="1010"/>
      <c r="E71" s="1010">
        <f>+'Exh F'!F69+'Exhibit G state'!F52+'Exhibit H'!D32</f>
        <v>1.3</v>
      </c>
      <c r="F71" s="1010"/>
      <c r="G71" s="1010">
        <f>+'Exh F'!H69+'Exhibit G state'!H52+'Exhibit H'!F32</f>
        <v>0.79999999999999993</v>
      </c>
      <c r="H71" s="1010"/>
      <c r="I71" s="1010">
        <f>+'Exh F'!J69+'Exhibit G state'!J52+'Exhibit H'!H32</f>
        <v>0.4</v>
      </c>
      <c r="J71" s="1010"/>
      <c r="K71" s="1010">
        <f>+'Exh F'!L69+'Exhibit G state'!L52+'Exhibit H'!J32</f>
        <v>0.1</v>
      </c>
      <c r="L71" s="1010"/>
      <c r="M71" s="1010">
        <f>+'Exh F'!N69+'Exhibit G state'!N52+'Exhibit H'!L32</f>
        <v>2.1</v>
      </c>
      <c r="N71" s="1010"/>
      <c r="O71" s="1010">
        <f>+'Exh F'!P69+'Exhibit G state'!P52+'Exhibit H'!N32</f>
        <v>0.4</v>
      </c>
      <c r="P71" s="1010"/>
      <c r="Q71" s="1010"/>
      <c r="R71" s="1010"/>
      <c r="S71" s="1010"/>
      <c r="T71" s="1010"/>
      <c r="U71" s="1010"/>
      <c r="V71" s="1010"/>
      <c r="X71" s="1010"/>
      <c r="Y71" s="1010"/>
      <c r="Z71" s="1010"/>
      <c r="AA71" s="1011"/>
      <c r="AB71" s="1010">
        <f t="shared" si="11"/>
        <v>5.2</v>
      </c>
      <c r="AC71" s="1010"/>
      <c r="AD71" s="1012"/>
      <c r="AE71" s="1010">
        <f>+'Exh F'!AF69+'Exhibit G state'!AH52+'Exhibit H'!AD32</f>
        <v>5.6000000000000005</v>
      </c>
      <c r="AF71" s="1022"/>
      <c r="AG71" s="1022"/>
      <c r="AH71" s="1010">
        <f t="shared" si="9"/>
        <v>-0.4</v>
      </c>
      <c r="AI71" s="435"/>
      <c r="AJ71" s="2201">
        <f t="shared" si="10"/>
        <v>-7.0999999999999994E-2</v>
      </c>
    </row>
    <row r="72" spans="1:36" ht="15">
      <c r="A72" s="1979" t="s">
        <v>1439</v>
      </c>
      <c r="B72" s="435"/>
      <c r="C72" s="1010">
        <f>+'Exh F'!D70+'Exhibit G state'!D53+'Exhibit H'!B33</f>
        <v>73.400000000000006</v>
      </c>
      <c r="D72" s="1010"/>
      <c r="E72" s="1010">
        <f>+'Exh F'!F70+'Exhibit G state'!F53+'Exhibit H'!D33</f>
        <v>65.400000000000006</v>
      </c>
      <c r="F72" s="1010"/>
      <c r="G72" s="1010">
        <f>+'Exh F'!H70+'Exhibit G state'!H53+'Exhibit H'!F33</f>
        <v>45.800000000000004</v>
      </c>
      <c r="H72" s="1010"/>
      <c r="I72" s="1010">
        <f>+'Exh F'!J70+'Exhibit G state'!J53+'Exhibit H'!H33</f>
        <v>59.600000000000016</v>
      </c>
      <c r="J72" s="1010"/>
      <c r="K72" s="1010">
        <f>+'Exh F'!L70+'Exhibit G state'!L53+'Exhibit H'!J33</f>
        <v>46.6</v>
      </c>
      <c r="L72" s="1010"/>
      <c r="M72" s="1010">
        <f>+'Exh F'!N70+'Exhibit G state'!N53+'Exhibit H'!L33</f>
        <v>49.4</v>
      </c>
      <c r="N72" s="1010"/>
      <c r="O72" s="1010">
        <f>+'Exh F'!P70+'Exhibit G state'!P53+'Exhibit H'!N33</f>
        <v>51</v>
      </c>
      <c r="P72" s="1010"/>
      <c r="Q72" s="1010"/>
      <c r="R72" s="1010"/>
      <c r="S72" s="1010"/>
      <c r="T72" s="1010"/>
      <c r="U72" s="1010"/>
      <c r="V72" s="1010"/>
      <c r="X72" s="1010"/>
      <c r="Y72" s="1010"/>
      <c r="Z72" s="1010"/>
      <c r="AA72" s="1011"/>
      <c r="AB72" s="1010">
        <f t="shared" si="11"/>
        <v>391.2</v>
      </c>
      <c r="AC72" s="1010"/>
      <c r="AD72" s="1012"/>
      <c r="AE72" s="1010">
        <f>+'Exh F'!AF70+'Exhibit G state'!AH53+'Exhibit H'!AD33</f>
        <v>308.39999999999998</v>
      </c>
      <c r="AF72" s="1022"/>
      <c r="AG72" s="1022"/>
      <c r="AH72" s="1010">
        <f t="shared" si="9"/>
        <v>82.8</v>
      </c>
      <c r="AI72" s="435"/>
      <c r="AJ72" s="2040">
        <f>ROUND(IF(AE72=0,0,AH72/(AE72)),3)</f>
        <v>0.26800000000000002</v>
      </c>
    </row>
    <row r="73" spans="1:36" ht="15">
      <c r="A73" s="1979" t="s">
        <v>1440</v>
      </c>
      <c r="B73" s="435"/>
      <c r="C73" s="1010">
        <f>+'Exh F'!D71+'Exhibit G state'!D54+'Exhibit H'!B34</f>
        <v>13.8</v>
      </c>
      <c r="D73" s="1010"/>
      <c r="E73" s="1010">
        <f>+'Exh F'!F71+'Exhibit G state'!F54+'Exhibit H'!D34</f>
        <v>21.9</v>
      </c>
      <c r="F73" s="1010"/>
      <c r="G73" s="1010">
        <f>+'Exh F'!H71+'Exhibit G state'!H54+'Exhibit H'!F34</f>
        <v>23.000000000000004</v>
      </c>
      <c r="H73" s="1010"/>
      <c r="I73" s="1010">
        <f>+'Exh F'!J71+'Exhibit G state'!J54+'Exhibit H'!H34</f>
        <v>31.3</v>
      </c>
      <c r="J73" s="1010"/>
      <c r="K73" s="1010">
        <f>+'Exh F'!L71+'Exhibit G state'!L54+'Exhibit H'!J34</f>
        <v>23.8</v>
      </c>
      <c r="L73" s="1010"/>
      <c r="M73" s="1010">
        <f>+'Exh F'!N71+'Exhibit G state'!N54+'Exhibit H'!L34</f>
        <v>24.7</v>
      </c>
      <c r="N73" s="1010"/>
      <c r="O73" s="1010">
        <f>+'Exh F'!P71+'Exhibit G state'!P54+'Exhibit H'!N34</f>
        <v>38.1</v>
      </c>
      <c r="P73" s="1010"/>
      <c r="Q73" s="1010"/>
      <c r="R73" s="1010"/>
      <c r="S73" s="1010"/>
      <c r="T73" s="1010"/>
      <c r="U73" s="1010"/>
      <c r="V73" s="1010"/>
      <c r="X73" s="1010"/>
      <c r="Y73" s="1010"/>
      <c r="Z73" s="1010"/>
      <c r="AA73" s="1011"/>
      <c r="AB73" s="1010">
        <f t="shared" si="11"/>
        <v>176.6</v>
      </c>
      <c r="AC73" s="1010"/>
      <c r="AD73" s="1012"/>
      <c r="AE73" s="1010">
        <f>+'Exh F'!AF71+'Exhibit G state'!AH54+'Exhibit H'!AD34</f>
        <v>129.9</v>
      </c>
      <c r="AF73" s="1022"/>
      <c r="AG73" s="1022"/>
      <c r="AH73" s="1010">
        <f t="shared" si="9"/>
        <v>46.7</v>
      </c>
      <c r="AI73" s="435"/>
      <c r="AJ73" s="2201">
        <f t="shared" si="10"/>
        <v>0.36</v>
      </c>
    </row>
    <row r="74" spans="1:36" ht="15">
      <c r="A74" s="1979" t="s">
        <v>1429</v>
      </c>
      <c r="B74" s="435"/>
      <c r="C74" s="1010">
        <f>+'Exh F'!D72+'Exhibit G state'!D55</f>
        <v>15</v>
      </c>
      <c r="D74" s="1010"/>
      <c r="E74" s="1010">
        <f>+'Exh F'!F72+'Exhibit G state'!F55</f>
        <v>761.2</v>
      </c>
      <c r="F74" s="1010"/>
      <c r="G74" s="1010">
        <f>+'Exh F'!H72+'Exhibit G state'!H55</f>
        <v>33.5</v>
      </c>
      <c r="H74" s="1010"/>
      <c r="I74" s="1010">
        <f>+'Exh F'!J72+'Exhibit G state'!J55</f>
        <v>2267.2999999999997</v>
      </c>
      <c r="J74" s="1010"/>
      <c r="K74" s="1010">
        <f>+'Exh F'!L72+'Exhibit G state'!L55</f>
        <v>124.2</v>
      </c>
      <c r="L74" s="1010"/>
      <c r="M74" s="1010">
        <f>+'Exh F'!N72+'Exhibit G state'!N55</f>
        <v>371.09999999999997</v>
      </c>
      <c r="N74" s="1010"/>
      <c r="O74" s="1010">
        <f>+'Exh F'!P72+'Exhibit G state'!P55</f>
        <v>27.5</v>
      </c>
      <c r="P74" s="1010"/>
      <c r="Q74" s="1010"/>
      <c r="R74" s="1010"/>
      <c r="S74" s="1010"/>
      <c r="T74" s="1010"/>
      <c r="U74" s="1010"/>
      <c r="V74" s="1010"/>
      <c r="X74" s="1010"/>
      <c r="Y74" s="1010"/>
      <c r="Z74" s="1010"/>
      <c r="AA74" s="1011"/>
      <c r="AB74" s="1010">
        <f t="shared" si="11"/>
        <v>3599.8</v>
      </c>
      <c r="AC74" s="1010"/>
      <c r="AD74" s="1012"/>
      <c r="AE74" s="1010">
        <f>+'Exh F'!AF72+'Exhibit G state'!AH55</f>
        <v>596.6</v>
      </c>
      <c r="AF74" s="1022"/>
      <c r="AG74" s="1022"/>
      <c r="AH74" s="1010">
        <f t="shared" si="9"/>
        <v>3003.2</v>
      </c>
      <c r="AI74" s="435"/>
      <c r="AJ74" s="2201">
        <f t="shared" si="10"/>
        <v>5.0339999999999998</v>
      </c>
    </row>
    <row r="75" spans="1:36" ht="15">
      <c r="A75" s="1979" t="s">
        <v>1564</v>
      </c>
      <c r="B75" s="435"/>
      <c r="C75" s="1010"/>
      <c r="D75" s="1010"/>
      <c r="E75" s="1010"/>
      <c r="F75" s="1010"/>
      <c r="G75" s="1010"/>
      <c r="H75" s="1010"/>
      <c r="I75" s="1010"/>
      <c r="J75" s="1010"/>
      <c r="K75" s="1010"/>
      <c r="L75" s="1010"/>
      <c r="M75" s="1010"/>
      <c r="N75" s="1010"/>
      <c r="O75" s="1010"/>
      <c r="P75" s="1010"/>
      <c r="Q75" s="1010"/>
      <c r="R75" s="1010"/>
      <c r="S75" s="1010"/>
      <c r="T75" s="1010"/>
      <c r="U75" s="1010"/>
      <c r="V75" s="1010"/>
      <c r="X75" s="1010"/>
      <c r="Y75" s="1010"/>
      <c r="Z75" s="1010"/>
      <c r="AA75" s="1011"/>
      <c r="AB75" s="1010"/>
      <c r="AC75" s="1010"/>
      <c r="AD75" s="1012"/>
      <c r="AE75" s="1010"/>
      <c r="AF75" s="1022"/>
      <c r="AG75" s="1022"/>
      <c r="AH75" s="1010"/>
      <c r="AI75" s="435"/>
      <c r="AJ75" s="2040"/>
    </row>
    <row r="76" spans="1:36" ht="15">
      <c r="A76" s="1979" t="s">
        <v>1441</v>
      </c>
      <c r="B76" s="435"/>
      <c r="C76" s="1010">
        <f>+'Exhibit G state'!D57</f>
        <v>4</v>
      </c>
      <c r="D76" s="1010"/>
      <c r="E76" s="1010">
        <f>+'Exhibit G state'!F57</f>
        <v>1.7</v>
      </c>
      <c r="F76" s="1010"/>
      <c r="G76" s="1010">
        <f>+'Exhibit G state'!H57</f>
        <v>0.5</v>
      </c>
      <c r="H76" s="1010"/>
      <c r="I76" s="1010">
        <f>+'Exhibit G state'!J57</f>
        <v>48.9</v>
      </c>
      <c r="J76" s="1010"/>
      <c r="K76" s="1010">
        <f>+'Exhibit G state'!L57</f>
        <v>0</v>
      </c>
      <c r="L76" s="1010"/>
      <c r="M76" s="1010">
        <f>+'Exhibit G state'!N57</f>
        <v>0.8</v>
      </c>
      <c r="N76" s="1010"/>
      <c r="O76" s="1010">
        <f>+'Exhibit G state'!P57</f>
        <v>51.2</v>
      </c>
      <c r="P76" s="1010"/>
      <c r="Q76" s="1010"/>
      <c r="R76" s="1010"/>
      <c r="S76" s="1010"/>
      <c r="T76" s="1010"/>
      <c r="U76" s="1010"/>
      <c r="V76" s="1010"/>
      <c r="X76" s="1010"/>
      <c r="Y76" s="1010"/>
      <c r="Z76" s="1010"/>
      <c r="AA76" s="1011"/>
      <c r="AB76" s="1010">
        <f>ROUND(SUM(C76:Y76),1)</f>
        <v>107.1</v>
      </c>
      <c r="AC76" s="1010"/>
      <c r="AD76" s="1012"/>
      <c r="AE76" s="1010">
        <f>+'Exhibit G state'!AH57</f>
        <v>452.1</v>
      </c>
      <c r="AF76" s="1022"/>
      <c r="AG76" s="1022"/>
      <c r="AH76" s="1010">
        <f t="shared" si="9"/>
        <v>-345</v>
      </c>
      <c r="AI76" s="435"/>
      <c r="AJ76" s="2201">
        <f t="shared" si="10"/>
        <v>-0.76300000000000001</v>
      </c>
    </row>
    <row r="77" spans="1:36" ht="15">
      <c r="A77" s="1979" t="s">
        <v>1442</v>
      </c>
      <c r="B77" s="435"/>
      <c r="C77" s="1010">
        <f>+'Exhibit G state'!D58</f>
        <v>220.6</v>
      </c>
      <c r="D77" s="1010"/>
      <c r="E77" s="1010">
        <f>+'Exhibit G state'!F58</f>
        <v>181.9</v>
      </c>
      <c r="F77" s="1010"/>
      <c r="G77" s="1010">
        <f>+'Exhibit G state'!H58</f>
        <v>172.5</v>
      </c>
      <c r="H77" s="1010"/>
      <c r="I77" s="1010">
        <f>+'Exhibit G state'!J58</f>
        <v>217.20000000000005</v>
      </c>
      <c r="J77" s="1010"/>
      <c r="K77" s="1010">
        <f>+'Exhibit G state'!L58</f>
        <v>173.4</v>
      </c>
      <c r="L77" s="1010"/>
      <c r="M77" s="1010">
        <f>+'Exhibit G state'!N58</f>
        <v>172.4</v>
      </c>
      <c r="N77" s="1010"/>
      <c r="O77" s="1010">
        <f>+'Exhibit G state'!P58</f>
        <v>218.6</v>
      </c>
      <c r="P77" s="1010"/>
      <c r="Q77" s="1010"/>
      <c r="R77" s="1010"/>
      <c r="S77" s="1010"/>
      <c r="T77" s="1010"/>
      <c r="U77" s="1010"/>
      <c r="V77" s="1010"/>
      <c r="X77" s="1010"/>
      <c r="Y77" s="1010"/>
      <c r="Z77" s="1010"/>
      <c r="AA77" s="1011"/>
      <c r="AB77" s="1010">
        <f>ROUND(SUM(C77:Y77),1)</f>
        <v>1356.6</v>
      </c>
      <c r="AC77" s="1010"/>
      <c r="AD77" s="1012"/>
      <c r="AE77" s="1010">
        <f>+'Exhibit G state'!AH58</f>
        <v>1415.7</v>
      </c>
      <c r="AF77" s="1022"/>
      <c r="AG77" s="1022"/>
      <c r="AH77" s="1010">
        <f t="shared" si="9"/>
        <v>-59.1</v>
      </c>
      <c r="AI77" s="435"/>
      <c r="AJ77" s="2201">
        <f t="shared" si="10"/>
        <v>-4.2000000000000003E-2</v>
      </c>
    </row>
    <row r="78" spans="1:36" ht="15">
      <c r="A78" s="1979" t="s">
        <v>1443</v>
      </c>
      <c r="B78" s="435"/>
      <c r="C78" s="1010">
        <f>+'Exhibit G state'!D59</f>
        <v>91.5</v>
      </c>
      <c r="D78" s="1010"/>
      <c r="E78" s="1010">
        <f>+'Exhibit G state'!F59</f>
        <v>71.7</v>
      </c>
      <c r="F78" s="1010"/>
      <c r="G78" s="1010">
        <f>+'Exhibit G state'!H59</f>
        <v>70.100000000000023</v>
      </c>
      <c r="H78" s="1010"/>
      <c r="I78" s="1010">
        <f>+'Exhibit G state'!J59</f>
        <v>87.300000000000011</v>
      </c>
      <c r="J78" s="1010"/>
      <c r="K78" s="1010">
        <f>+'Exhibit G state'!L59</f>
        <v>71.099999999999994</v>
      </c>
      <c r="L78" s="1010"/>
      <c r="M78" s="1010">
        <f>+'Exhibit G state'!N59</f>
        <v>71.3</v>
      </c>
      <c r="N78" s="1010"/>
      <c r="O78" s="1010">
        <f>+'Exhibit G state'!P59</f>
        <v>86.7</v>
      </c>
      <c r="P78" s="1010"/>
      <c r="Q78" s="1010"/>
      <c r="R78" s="1010"/>
      <c r="S78" s="1010"/>
      <c r="T78" s="1010"/>
      <c r="U78" s="1010"/>
      <c r="V78" s="1010"/>
      <c r="X78" s="1010"/>
      <c r="Y78" s="1010"/>
      <c r="Z78" s="1010"/>
      <c r="AA78" s="1011"/>
      <c r="AB78" s="1010">
        <f>ROUND(SUM(C78:Y78),1)</f>
        <v>549.70000000000005</v>
      </c>
      <c r="AC78" s="1010"/>
      <c r="AD78" s="1012"/>
      <c r="AE78" s="1010">
        <f>+'Exhibit G state'!AH59</f>
        <v>565.79999999999995</v>
      </c>
      <c r="AF78" s="1022"/>
      <c r="AG78" s="1022"/>
      <c r="AH78" s="1010">
        <f t="shared" si="9"/>
        <v>-16.100000000000001</v>
      </c>
      <c r="AI78" s="435"/>
      <c r="AJ78" s="2201">
        <f t="shared" si="10"/>
        <v>-2.8000000000000001E-2</v>
      </c>
    </row>
    <row r="79" spans="1:36" ht="15">
      <c r="A79" s="1979" t="s">
        <v>1430</v>
      </c>
      <c r="B79" s="435"/>
      <c r="C79" s="1010">
        <f>+'Exh F'!D73+'Exhibit H'!B35+'Exhibit G state'!D60</f>
        <v>2.5</v>
      </c>
      <c r="D79" s="1010"/>
      <c r="E79" s="1010">
        <f>+'Exh F'!F73+'Exhibit H'!D35+'Exhibit G state'!F60</f>
        <v>2.2999999999999998</v>
      </c>
      <c r="F79" s="1010"/>
      <c r="G79" s="1010">
        <f>+'Exh F'!H73+'Exhibit H'!F35+'Exhibit G state'!H60</f>
        <v>2.5</v>
      </c>
      <c r="H79" s="1010"/>
      <c r="I79" s="1010">
        <f>+'Exh F'!J73+'Exhibit H'!H35+'Exhibit G state'!J60</f>
        <v>3.1</v>
      </c>
      <c r="J79" s="1010"/>
      <c r="K79" s="1010">
        <f>+'Exh F'!L73+'Exhibit H'!J35+'Exhibit G state'!L60</f>
        <v>2</v>
      </c>
      <c r="L79" s="1010"/>
      <c r="M79" s="1010">
        <f>+'Exh F'!N73+'Exhibit H'!L35+'Exhibit G state'!N60</f>
        <v>2.8000000000000003</v>
      </c>
      <c r="N79" s="1010"/>
      <c r="O79" s="1010">
        <f>+'Exh F'!P73+'Exhibit H'!N35+'Exhibit G state'!P60</f>
        <v>2.5</v>
      </c>
      <c r="P79" s="1010"/>
      <c r="Q79" s="1010"/>
      <c r="R79" s="1010"/>
      <c r="S79" s="1010"/>
      <c r="T79" s="1010"/>
      <c r="U79" s="1010"/>
      <c r="V79" s="1010"/>
      <c r="X79" s="1010"/>
      <c r="Y79" s="1010"/>
      <c r="Z79" s="1010"/>
      <c r="AA79" s="1011"/>
      <c r="AB79" s="1010">
        <f>ROUND(SUM(C79:Y79),1)</f>
        <v>17.7</v>
      </c>
      <c r="AC79" s="1010"/>
      <c r="AD79" s="1012"/>
      <c r="AE79" s="1010">
        <f>+'Exh F'!AF73+'Exhibit H'!AD35+'Exhibit G state'!AH60</f>
        <v>15.8</v>
      </c>
      <c r="AF79" s="1022"/>
      <c r="AG79" s="1022"/>
      <c r="AH79" s="1010">
        <f t="shared" si="9"/>
        <v>1.9</v>
      </c>
      <c r="AI79" s="435"/>
      <c r="AJ79" s="2201">
        <f t="shared" si="10"/>
        <v>0.12</v>
      </c>
    </row>
    <row r="80" spans="1:36" ht="15">
      <c r="A80" s="1979" t="s">
        <v>1565</v>
      </c>
      <c r="B80" s="435"/>
      <c r="C80" s="1010"/>
      <c r="D80" s="1010"/>
      <c r="E80" s="1010"/>
      <c r="F80" s="1010"/>
      <c r="G80" s="1010"/>
      <c r="H80" s="1010"/>
      <c r="I80" s="1010"/>
      <c r="J80" s="1010"/>
      <c r="K80" s="1010"/>
      <c r="L80" s="1010"/>
      <c r="M80" s="1010"/>
      <c r="N80" s="1010"/>
      <c r="O80" s="1010"/>
      <c r="P80" s="1010"/>
      <c r="Q80" s="1010"/>
      <c r="R80" s="1010"/>
      <c r="S80" s="1010"/>
      <c r="T80" s="1010"/>
      <c r="U80" s="1010"/>
      <c r="V80" s="1010"/>
      <c r="X80" s="1010"/>
      <c r="Y80" s="1010"/>
      <c r="Z80" s="1010"/>
      <c r="AA80" s="1011"/>
      <c r="AB80" s="1010"/>
      <c r="AC80" s="1010"/>
      <c r="AD80" s="1012"/>
      <c r="AE80" s="1010"/>
      <c r="AF80" s="1022"/>
      <c r="AG80" s="1022"/>
      <c r="AH80" s="1010"/>
      <c r="AI80" s="435"/>
      <c r="AJ80" s="2040"/>
    </row>
    <row r="81" spans="1:36" ht="15">
      <c r="A81" s="1979" t="s">
        <v>1444</v>
      </c>
      <c r="B81" s="435"/>
      <c r="C81" s="1010">
        <f>+'Exhibit G state'!D62</f>
        <v>0</v>
      </c>
      <c r="D81" s="1010"/>
      <c r="E81" s="1010">
        <f>+'Exhibit G state'!F62</f>
        <v>0</v>
      </c>
      <c r="F81" s="1010"/>
      <c r="G81" s="1010">
        <f>+'Exhibit G state'!H62</f>
        <v>0</v>
      </c>
      <c r="H81" s="1010"/>
      <c r="I81" s="1010">
        <f>+'Exhibit G state'!J62</f>
        <v>0</v>
      </c>
      <c r="J81" s="1010"/>
      <c r="K81" s="1010">
        <f>+'Exhibit G state'!L62</f>
        <v>0</v>
      </c>
      <c r="L81" s="1010"/>
      <c r="M81" s="1010">
        <f>+'Exhibit G state'!N62</f>
        <v>0</v>
      </c>
      <c r="N81" s="1010"/>
      <c r="O81" s="1010">
        <f>+'Exhibit G state'!P62</f>
        <v>0</v>
      </c>
      <c r="P81" s="1010"/>
      <c r="Q81" s="1010"/>
      <c r="R81" s="1010"/>
      <c r="S81" s="1010"/>
      <c r="T81" s="1010"/>
      <c r="U81" s="1010"/>
      <c r="V81" s="1010"/>
      <c r="X81" s="1010"/>
      <c r="Y81" s="1010"/>
      <c r="Z81" s="1010"/>
      <c r="AA81" s="1011"/>
      <c r="AB81" s="1010">
        <f t="shared" ref="AB81:AB86" si="12">ROUND(SUM(C81:Y81),1)</f>
        <v>0</v>
      </c>
      <c r="AC81" s="1010"/>
      <c r="AD81" s="1012"/>
      <c r="AE81" s="1010">
        <f>+'Exhibit G state'!AH62</f>
        <v>0</v>
      </c>
      <c r="AF81" s="1022"/>
      <c r="AG81" s="1022"/>
      <c r="AH81" s="1010">
        <f t="shared" si="9"/>
        <v>0</v>
      </c>
      <c r="AI81" s="435"/>
      <c r="AJ81" s="2040">
        <f>ROUND(IF(AE81=0,0,AH81/(AE81)),3)</f>
        <v>0</v>
      </c>
    </row>
    <row r="82" spans="1:36" ht="15">
      <c r="A82" s="1979" t="s">
        <v>1445</v>
      </c>
      <c r="B82" s="435"/>
      <c r="C82" s="1010">
        <f>+'Exh F'!D75+'Exhibit G state'!D63</f>
        <v>0</v>
      </c>
      <c r="D82" s="1010"/>
      <c r="E82" s="1010">
        <f>+'Exh F'!F75+'Exhibit G state'!F63</f>
        <v>22.599999999999998</v>
      </c>
      <c r="F82" s="1010"/>
      <c r="G82" s="1010">
        <f>+'Exh F'!H75+'Exhibit G state'!H63</f>
        <v>4.7</v>
      </c>
      <c r="H82" s="1010"/>
      <c r="I82" s="1010">
        <f>+'Exh F'!J75+'Exhibit G state'!J63</f>
        <v>0</v>
      </c>
      <c r="J82" s="1010"/>
      <c r="K82" s="1010">
        <f>+'Exh F'!L75+'Exhibit G state'!L63</f>
        <v>0</v>
      </c>
      <c r="L82" s="1010"/>
      <c r="M82" s="1010">
        <f>+'Exh F'!N75+'Exhibit G state'!N63</f>
        <v>0</v>
      </c>
      <c r="N82" s="1010"/>
      <c r="O82" s="1010">
        <f>+'Exh F'!P75+'Exhibit G state'!P63</f>
        <v>5.9</v>
      </c>
      <c r="P82" s="1010"/>
      <c r="Q82" s="1010"/>
      <c r="R82" s="1010"/>
      <c r="S82" s="1010"/>
      <c r="T82" s="1010"/>
      <c r="U82" s="1010"/>
      <c r="V82" s="1010"/>
      <c r="X82" s="1010"/>
      <c r="Y82" s="1010"/>
      <c r="Z82" s="1010"/>
      <c r="AA82" s="1011"/>
      <c r="AB82" s="1010">
        <f t="shared" si="12"/>
        <v>33.200000000000003</v>
      </c>
      <c r="AC82" s="1010"/>
      <c r="AD82" s="1012"/>
      <c r="AE82" s="1010">
        <f>+'Exh F'!AF75+'Exhibit G state'!AH63</f>
        <v>34.299999999999997</v>
      </c>
      <c r="AF82" s="1022"/>
      <c r="AG82" s="1022"/>
      <c r="AH82" s="1010">
        <f t="shared" si="9"/>
        <v>-1.1000000000000001</v>
      </c>
      <c r="AI82" s="435"/>
      <c r="AJ82" s="2201">
        <f t="shared" si="10"/>
        <v>-3.2000000000000001E-2</v>
      </c>
    </row>
    <row r="83" spans="1:36" ht="15">
      <c r="A83" s="1979" t="s">
        <v>1446</v>
      </c>
      <c r="B83" s="435"/>
      <c r="C83" s="1010">
        <f>+'Exh F'!D76+'Exhibit G state'!D64</f>
        <v>13.8</v>
      </c>
      <c r="D83" s="1010"/>
      <c r="E83" s="1010">
        <f>+'Exh F'!F76+'Exhibit G state'!F64</f>
        <v>0.79999999999999993</v>
      </c>
      <c r="F83" s="1010"/>
      <c r="G83" s="1010">
        <f>+'Exh F'!H76+'Exhibit G state'!H64</f>
        <v>2.4</v>
      </c>
      <c r="H83" s="1010"/>
      <c r="I83" s="1010">
        <f>+'Exh F'!J76+'Exhibit G state'!J64</f>
        <v>15.8</v>
      </c>
      <c r="J83" s="1010"/>
      <c r="K83" s="1010">
        <f>+'Exh F'!L76+'Exhibit G state'!L64</f>
        <v>2.2999999999999998</v>
      </c>
      <c r="L83" s="1010"/>
      <c r="M83" s="1010">
        <f>+'Exh F'!N76+'Exhibit G state'!N64</f>
        <v>3.3</v>
      </c>
      <c r="N83" s="1010"/>
      <c r="O83" s="1010">
        <f>+'Exh F'!P76+'Exhibit G state'!P64</f>
        <v>9.9</v>
      </c>
      <c r="P83" s="1010"/>
      <c r="Q83" s="1010"/>
      <c r="R83" s="1010"/>
      <c r="S83" s="1010"/>
      <c r="T83" s="1010"/>
      <c r="U83" s="1010"/>
      <c r="V83" s="1010"/>
      <c r="X83" s="1010"/>
      <c r="Y83" s="1010"/>
      <c r="Z83" s="1010"/>
      <c r="AA83" s="1011"/>
      <c r="AB83" s="1010">
        <f t="shared" si="12"/>
        <v>48.3</v>
      </c>
      <c r="AC83" s="1010"/>
      <c r="AD83" s="1012"/>
      <c r="AE83" s="1010">
        <f>+'Exh F'!AF76+'Exhibit G state'!AH64</f>
        <v>61.6</v>
      </c>
      <c r="AF83" s="1022"/>
      <c r="AG83" s="1022"/>
      <c r="AH83" s="1010">
        <f t="shared" si="9"/>
        <v>-13.3</v>
      </c>
      <c r="AI83" s="435"/>
      <c r="AJ83" s="2201">
        <f t="shared" si="10"/>
        <v>-0.216</v>
      </c>
    </row>
    <row r="84" spans="1:36" ht="15">
      <c r="A84" s="1979" t="s">
        <v>1447</v>
      </c>
      <c r="B84" s="435"/>
      <c r="C84" s="1010">
        <f>+'Exh F'!D77+'Exhibit G state'!D65</f>
        <v>0.2</v>
      </c>
      <c r="D84" s="1010"/>
      <c r="E84" s="1010">
        <f>+'Exh F'!F77+'Exhibit G state'!F65</f>
        <v>1.8</v>
      </c>
      <c r="F84" s="1010"/>
      <c r="G84" s="1010">
        <f>+'Exh F'!H77+'Exhibit G state'!H65</f>
        <v>0.6</v>
      </c>
      <c r="H84" s="1010"/>
      <c r="I84" s="1010">
        <f>+'Exh F'!J77+'Exhibit G state'!J65</f>
        <v>0.2</v>
      </c>
      <c r="J84" s="1010"/>
      <c r="K84" s="1010">
        <f>+'Exh F'!L77+'Exhibit G state'!L65</f>
        <v>0.7</v>
      </c>
      <c r="L84" s="1010"/>
      <c r="M84" s="1010">
        <f>+'Exh F'!N77+'Exhibit G state'!N65</f>
        <v>0.2</v>
      </c>
      <c r="N84" s="1010"/>
      <c r="O84" s="1010">
        <f>+'Exh F'!P77+'Exhibit G state'!P65</f>
        <v>3.2</v>
      </c>
      <c r="P84" s="1010"/>
      <c r="Q84" s="1010"/>
      <c r="R84" s="1010"/>
      <c r="S84" s="1010"/>
      <c r="T84" s="1010"/>
      <c r="U84" s="1010"/>
      <c r="V84" s="1010"/>
      <c r="X84" s="1010"/>
      <c r="Y84" s="1010"/>
      <c r="Z84" s="1010"/>
      <c r="AA84" s="1011"/>
      <c r="AB84" s="1010">
        <f t="shared" si="12"/>
        <v>6.9</v>
      </c>
      <c r="AC84" s="1010"/>
      <c r="AD84" s="1012"/>
      <c r="AE84" s="1010">
        <f>+'Exh F'!AF77+'Exhibit G state'!AH65</f>
        <v>52.5</v>
      </c>
      <c r="AF84" s="1022"/>
      <c r="AG84" s="1022"/>
      <c r="AH84" s="1010">
        <f t="shared" si="9"/>
        <v>-45.6</v>
      </c>
      <c r="AI84" s="435"/>
      <c r="AJ84" s="2201">
        <f t="shared" si="10"/>
        <v>-0.86899999999999999</v>
      </c>
    </row>
    <row r="85" spans="1:36" ht="15">
      <c r="A85" s="1979" t="s">
        <v>1448</v>
      </c>
      <c r="B85" s="435"/>
      <c r="C85" s="1010">
        <f>+'Exh F'!D78+'Exhibit H'!B36+'Exhibit G state'!D66</f>
        <v>34.5</v>
      </c>
      <c r="D85" s="1010"/>
      <c r="E85" s="1010">
        <f>+'Exh F'!F78+'Exhibit H'!D36+'Exhibit G state'!F66</f>
        <v>5.8999999999999995</v>
      </c>
      <c r="F85" s="1010"/>
      <c r="G85" s="1010">
        <f>+'Exh F'!H78+'Exhibit H'!F36+'Exhibit G state'!H66</f>
        <v>8.7000000000000028</v>
      </c>
      <c r="H85" s="1010"/>
      <c r="I85" s="1010">
        <f>+'Exh F'!J78+'Exhibit H'!H36+'Exhibit G state'!J66</f>
        <v>6.1000000000000005</v>
      </c>
      <c r="J85" s="1010"/>
      <c r="K85" s="1010">
        <f>+'Exh F'!L78+'Exhibit H'!J36+'Exhibit G state'!L66</f>
        <v>5.2</v>
      </c>
      <c r="L85" s="1010"/>
      <c r="M85" s="1010">
        <f>+'Exh F'!N78+'Exhibit H'!L36+'Exhibit G state'!N66</f>
        <v>7.5</v>
      </c>
      <c r="N85" s="1010"/>
      <c r="O85" s="1010">
        <f>+'Exh F'!P78+'Exhibit H'!N36+'Exhibit G state'!P66</f>
        <v>6.2</v>
      </c>
      <c r="P85" s="1010"/>
      <c r="Q85" s="1010"/>
      <c r="R85" s="1010"/>
      <c r="S85" s="1010"/>
      <c r="T85" s="1010"/>
      <c r="U85" s="1010"/>
      <c r="V85" s="1010"/>
      <c r="X85" s="1010"/>
      <c r="Y85" s="1010"/>
      <c r="Z85" s="1010"/>
      <c r="AA85" s="1011"/>
      <c r="AB85" s="1010">
        <f t="shared" si="12"/>
        <v>74.099999999999994</v>
      </c>
      <c r="AC85" s="1010"/>
      <c r="AD85" s="1012"/>
      <c r="AE85" s="1010">
        <f>+'Exh F'!AF78+'Exhibit H'!AD36+'Exhibit G state'!AH66</f>
        <v>73.699999999999989</v>
      </c>
      <c r="AF85" s="1022"/>
      <c r="AG85" s="1022"/>
      <c r="AH85" s="1010">
        <f t="shared" si="9"/>
        <v>0.4</v>
      </c>
      <c r="AI85" s="435"/>
      <c r="AJ85" s="2201">
        <f t="shared" si="10"/>
        <v>5.0000000000000001E-3</v>
      </c>
    </row>
    <row r="86" spans="1:36" ht="15">
      <c r="A86" s="1979" t="s">
        <v>1449</v>
      </c>
      <c r="B86" s="435"/>
      <c r="C86" s="1010">
        <f>+'Exh F'!D79+'Exhibit H'!B37+'Exhibit G state'!D67</f>
        <v>27.3</v>
      </c>
      <c r="D86" s="1010"/>
      <c r="E86" s="1010">
        <f>+'Exh F'!F79+'Exhibit H'!D37+'Exhibit G state'!F67</f>
        <v>33.800000000000004</v>
      </c>
      <c r="F86" s="1010"/>
      <c r="G86" s="1010">
        <f>+'Exh F'!H79+'Exhibit H'!F37+'Exhibit G state'!H67</f>
        <v>29.3</v>
      </c>
      <c r="H86" s="1010"/>
      <c r="I86" s="1010">
        <f>+'Exh F'!J79+'Exhibit H'!H37+'Exhibit G state'!J67</f>
        <v>23.8</v>
      </c>
      <c r="J86" s="1010"/>
      <c r="K86" s="1010">
        <f>+'Exh F'!L79+'Exhibit H'!J37+'Exhibit G state'!L67</f>
        <v>8.3000000000000007</v>
      </c>
      <c r="L86" s="1010"/>
      <c r="M86" s="1010">
        <f>+'Exh F'!N79+'Exhibit H'!L37+'Exhibit G state'!N67</f>
        <v>1.5999999999999999</v>
      </c>
      <c r="N86" s="1010"/>
      <c r="O86" s="1010">
        <f>+'Exh F'!P79+'Exhibit H'!N37+'Exhibit G state'!P67</f>
        <v>-6.9</v>
      </c>
      <c r="P86" s="1010"/>
      <c r="Q86" s="1010"/>
      <c r="R86" s="1010"/>
      <c r="S86" s="1010"/>
      <c r="T86" s="1010"/>
      <c r="U86" s="1010"/>
      <c r="V86" s="1010"/>
      <c r="X86" s="1010"/>
      <c r="Y86" s="1010"/>
      <c r="Z86" s="1010"/>
      <c r="AA86" s="1011"/>
      <c r="AB86" s="1010">
        <f t="shared" si="12"/>
        <v>117.2</v>
      </c>
      <c r="AC86" s="1010"/>
      <c r="AD86" s="1012"/>
      <c r="AE86" s="1010">
        <f>+'Exh F'!AF79+'Exhibit H'!AD37+'Exhibit G state'!AH67</f>
        <v>60.7</v>
      </c>
      <c r="AF86" s="1022"/>
      <c r="AG86" s="1022"/>
      <c r="AH86" s="1010">
        <f t="shared" si="9"/>
        <v>56.5</v>
      </c>
      <c r="AI86" s="435"/>
      <c r="AJ86" s="2201">
        <f t="shared" si="10"/>
        <v>0.93100000000000005</v>
      </c>
    </row>
    <row r="87" spans="1:36" ht="15">
      <c r="A87" s="1979" t="s">
        <v>1566</v>
      </c>
      <c r="B87" s="435"/>
      <c r="C87" s="1010"/>
      <c r="D87" s="1010"/>
      <c r="E87" s="1010"/>
      <c r="F87" s="1010"/>
      <c r="G87" s="1010"/>
      <c r="H87" s="1010"/>
      <c r="I87" s="1010"/>
      <c r="J87" s="1010"/>
      <c r="K87" s="1010"/>
      <c r="L87" s="1010"/>
      <c r="M87" s="1010"/>
      <c r="N87" s="1010"/>
      <c r="O87" s="1010"/>
      <c r="P87" s="1010"/>
      <c r="Q87" s="1010"/>
      <c r="R87" s="1010"/>
      <c r="S87" s="1010"/>
      <c r="T87" s="1010"/>
      <c r="U87" s="1010"/>
      <c r="V87" s="1010"/>
      <c r="X87" s="1010"/>
      <c r="Y87" s="1010"/>
      <c r="Z87" s="1010"/>
      <c r="AA87" s="1011"/>
      <c r="AB87" s="1010"/>
      <c r="AC87" s="1010"/>
      <c r="AD87" s="1012"/>
      <c r="AE87" s="1010"/>
      <c r="AF87" s="1022"/>
      <c r="AG87" s="1022"/>
      <c r="AH87" s="1010"/>
      <c r="AI87" s="435"/>
      <c r="AJ87" s="2040"/>
    </row>
    <row r="88" spans="1:36" ht="15">
      <c r="A88" s="1979" t="s">
        <v>1450</v>
      </c>
      <c r="B88" s="435"/>
      <c r="C88" s="1010">
        <f>+'Exh F'!D81+'Exhibit G state'!D69</f>
        <v>0.9</v>
      </c>
      <c r="D88" s="1010"/>
      <c r="E88" s="1010">
        <f>+'Exh F'!F81+'Exhibit G state'!F69</f>
        <v>8.1999999999999993</v>
      </c>
      <c r="F88" s="1010"/>
      <c r="G88" s="1010">
        <f>+'Exh F'!H81+'Exhibit G state'!H69</f>
        <v>32.400000000000006</v>
      </c>
      <c r="H88" s="1010"/>
      <c r="I88" s="1010">
        <f>+'Exh F'!J81+'Exhibit G state'!J69</f>
        <v>9.4</v>
      </c>
      <c r="J88" s="1010"/>
      <c r="K88" s="1010">
        <f>+'Exh F'!L81+'Exhibit G state'!L69</f>
        <v>8.4</v>
      </c>
      <c r="L88" s="1010"/>
      <c r="M88" s="1010">
        <f>+'Exh F'!N81+'Exhibit G state'!N69</f>
        <v>34.299999999999997</v>
      </c>
      <c r="N88" s="1010"/>
      <c r="O88" s="1010">
        <f>+'Exh F'!P81+'Exhibit G state'!P69</f>
        <v>8.6</v>
      </c>
      <c r="P88" s="1010"/>
      <c r="Q88" s="1010"/>
      <c r="R88" s="1010"/>
      <c r="S88" s="1010"/>
      <c r="T88" s="1010"/>
      <c r="U88" s="1010"/>
      <c r="V88" s="1010"/>
      <c r="X88" s="1010"/>
      <c r="Y88" s="1010"/>
      <c r="Z88" s="1010"/>
      <c r="AA88" s="1011"/>
      <c r="AB88" s="1010">
        <f t="shared" ref="AB88:AB98" si="13">ROUND(SUM(C88:Y88),1)</f>
        <v>102.2</v>
      </c>
      <c r="AC88" s="1010"/>
      <c r="AD88" s="1012"/>
      <c r="AE88" s="1010">
        <f>+'Exh F'!AF81+'Exhibit G state'!AH69</f>
        <v>102</v>
      </c>
      <c r="AF88" s="1022"/>
      <c r="AG88" s="1022"/>
      <c r="AH88" s="1010">
        <f t="shared" si="9"/>
        <v>0.2</v>
      </c>
      <c r="AI88" s="435"/>
      <c r="AJ88" s="2201">
        <f t="shared" si="10"/>
        <v>2E-3</v>
      </c>
    </row>
    <row r="89" spans="1:36" ht="15">
      <c r="A89" s="1979" t="s">
        <v>1451</v>
      </c>
      <c r="B89" s="435"/>
      <c r="C89" s="1010">
        <f>+'Exhibit G state'!D70</f>
        <v>0.2</v>
      </c>
      <c r="D89" s="1010"/>
      <c r="E89" s="1010">
        <f>+'Exhibit G state'!F70</f>
        <v>4.3</v>
      </c>
      <c r="F89" s="1010"/>
      <c r="G89" s="1010">
        <f>+'Exhibit G state'!H70</f>
        <v>0.2</v>
      </c>
      <c r="H89" s="1010"/>
      <c r="I89" s="1010">
        <f>+'Exhibit G state'!J70</f>
        <v>0.1</v>
      </c>
      <c r="J89" s="1010"/>
      <c r="K89" s="1010">
        <f>+'Exhibit G state'!L70</f>
        <v>0</v>
      </c>
      <c r="L89" s="1010"/>
      <c r="M89" s="1010">
        <f>+'Exhibit G state'!N70</f>
        <v>0.5</v>
      </c>
      <c r="N89" s="1010"/>
      <c r="O89" s="1010">
        <f>+'Exhibit G state'!P70</f>
        <v>0.3</v>
      </c>
      <c r="P89" s="1010"/>
      <c r="Q89" s="1010"/>
      <c r="R89" s="1010"/>
      <c r="S89" s="1010"/>
      <c r="T89" s="1010"/>
      <c r="U89" s="1010"/>
      <c r="V89" s="1010"/>
      <c r="X89" s="1010"/>
      <c r="Y89" s="1010"/>
      <c r="Z89" s="1010"/>
      <c r="AA89" s="1011"/>
      <c r="AB89" s="1010">
        <f t="shared" si="13"/>
        <v>5.6</v>
      </c>
      <c r="AC89" s="1010"/>
      <c r="AD89" s="1012"/>
      <c r="AE89" s="1010">
        <f>+'Exhibit G state'!AH70</f>
        <v>3.8</v>
      </c>
      <c r="AF89" s="1022"/>
      <c r="AG89" s="1022"/>
      <c r="AH89" s="1010">
        <f t="shared" si="9"/>
        <v>1.8</v>
      </c>
      <c r="AI89" s="435"/>
      <c r="AJ89" s="2201">
        <f t="shared" si="10"/>
        <v>0.47399999999999998</v>
      </c>
    </row>
    <row r="90" spans="1:36" ht="15">
      <c r="A90" s="1979" t="s">
        <v>1452</v>
      </c>
      <c r="B90" s="435"/>
      <c r="C90" s="1010">
        <f>+'Exh F'!D82+'Exhibit G state'!D71</f>
        <v>0.7</v>
      </c>
      <c r="D90" s="1010"/>
      <c r="E90" s="1010">
        <f>+'Exh F'!F82+'Exhibit G state'!F71</f>
        <v>0.6</v>
      </c>
      <c r="F90" s="1010"/>
      <c r="G90" s="1010">
        <f>+'Exh F'!H82+'Exhibit G state'!H71</f>
        <v>0.1</v>
      </c>
      <c r="H90" s="1010"/>
      <c r="I90" s="1010">
        <f>+'Exh F'!J82+'Exhibit G state'!J71</f>
        <v>0.2</v>
      </c>
      <c r="J90" s="1010"/>
      <c r="K90" s="1010">
        <f>+'Exh F'!L82+'Exhibit G state'!L71</f>
        <v>0.5</v>
      </c>
      <c r="L90" s="1010"/>
      <c r="M90" s="1010">
        <f>+'Exh F'!N82+'Exhibit G state'!N71</f>
        <v>0</v>
      </c>
      <c r="N90" s="1010"/>
      <c r="O90" s="1010">
        <f>+'Exh F'!P82+'Exhibit G state'!P71</f>
        <v>0.5</v>
      </c>
      <c r="P90" s="1010"/>
      <c r="Q90" s="1010"/>
      <c r="R90" s="1010"/>
      <c r="S90" s="1010"/>
      <c r="T90" s="1010"/>
      <c r="U90" s="1010"/>
      <c r="V90" s="1010"/>
      <c r="X90" s="1010"/>
      <c r="Y90" s="1010"/>
      <c r="Z90" s="1010"/>
      <c r="AA90" s="1011"/>
      <c r="AB90" s="1010">
        <f t="shared" si="13"/>
        <v>2.6</v>
      </c>
      <c r="AC90" s="1010"/>
      <c r="AD90" s="1012"/>
      <c r="AE90" s="1010">
        <f>+'Exh F'!AF82+'Exhibit G state'!AH71</f>
        <v>4.2</v>
      </c>
      <c r="AF90" s="1022"/>
      <c r="AG90" s="1022"/>
      <c r="AH90" s="1010">
        <f t="shared" si="9"/>
        <v>-1.6</v>
      </c>
      <c r="AI90" s="435"/>
      <c r="AJ90" s="2201">
        <f t="shared" si="10"/>
        <v>-0.38100000000000001</v>
      </c>
    </row>
    <row r="91" spans="1:36" ht="15">
      <c r="A91" s="1979" t="s">
        <v>1453</v>
      </c>
      <c r="B91" s="435"/>
      <c r="C91" s="1010">
        <f>+'Exh F'!D83+'Exhibit G state'!D72</f>
        <v>2</v>
      </c>
      <c r="D91" s="1010"/>
      <c r="E91" s="1010">
        <f>+'Exh F'!F83+'Exhibit G state'!F72</f>
        <v>9.1999999999999993</v>
      </c>
      <c r="F91" s="1010"/>
      <c r="G91" s="1010">
        <f>+'Exh F'!H83+'Exhibit G state'!H72</f>
        <v>17.100000000000001</v>
      </c>
      <c r="H91" s="1010"/>
      <c r="I91" s="1010">
        <f>+'Exh F'!J83+'Exhibit G state'!J72</f>
        <v>3</v>
      </c>
      <c r="J91" s="1010"/>
      <c r="K91" s="1010">
        <f>+'Exh F'!L83+'Exhibit G state'!L72</f>
        <v>19.7</v>
      </c>
      <c r="L91" s="1010"/>
      <c r="M91" s="1010">
        <f>+'Exh F'!N83+'Exhibit G state'!N72</f>
        <v>6.2</v>
      </c>
      <c r="N91" s="1010"/>
      <c r="O91" s="1010">
        <f>+'Exh F'!P83+'Exhibit G state'!P72</f>
        <v>5.3</v>
      </c>
      <c r="P91" s="1010"/>
      <c r="Q91" s="1010"/>
      <c r="R91" s="1010"/>
      <c r="S91" s="1010"/>
      <c r="T91" s="1010"/>
      <c r="U91" s="1010"/>
      <c r="V91" s="1010"/>
      <c r="X91" s="1010"/>
      <c r="Y91" s="1010"/>
      <c r="Z91" s="1010"/>
      <c r="AA91" s="1011"/>
      <c r="AB91" s="1010">
        <f t="shared" si="13"/>
        <v>62.5</v>
      </c>
      <c r="AC91" s="1010"/>
      <c r="AD91" s="1012"/>
      <c r="AE91" s="1010">
        <f>+'Exh F'!AF83+'Exhibit G state'!AH72</f>
        <v>68.8</v>
      </c>
      <c r="AF91" s="1022"/>
      <c r="AG91" s="1022"/>
      <c r="AH91" s="1010">
        <f t="shared" si="9"/>
        <v>-6.3</v>
      </c>
      <c r="AI91" s="435"/>
      <c r="AJ91" s="2201">
        <f t="shared" si="10"/>
        <v>-9.1999999999999998E-2</v>
      </c>
    </row>
    <row r="92" spans="1:36" ht="15">
      <c r="A92" s="1979" t="s">
        <v>1454</v>
      </c>
      <c r="B92" s="435"/>
      <c r="C92" s="1010">
        <f>+'Exhibit H'!B39+'Exhibit G state'!D73</f>
        <v>203.2</v>
      </c>
      <c r="D92" s="1010"/>
      <c r="E92" s="1010">
        <f>+'Exhibit H'!D39+'Exhibit G state'!F73</f>
        <v>249.3</v>
      </c>
      <c r="F92" s="1010"/>
      <c r="G92" s="1010">
        <f>+'Exhibit H'!F39+'Exhibit G state'!H73</f>
        <v>173.50000000000003</v>
      </c>
      <c r="H92" s="1010"/>
      <c r="I92" s="1010">
        <f>+'Exhibit H'!H39+'Exhibit G state'!J73</f>
        <v>218.49999999999994</v>
      </c>
      <c r="J92" s="1010"/>
      <c r="K92" s="1010">
        <f>+'Exhibit H'!J39+'Exhibit G state'!L73</f>
        <v>229.20000000000002</v>
      </c>
      <c r="L92" s="1010"/>
      <c r="M92" s="1010">
        <f>+'Exhibit H'!L39+'Exhibit G state'!N73</f>
        <v>104.6</v>
      </c>
      <c r="N92" s="1010"/>
      <c r="O92" s="1010">
        <f>+'Exhibit H'!N39+'Exhibit G state'!P73</f>
        <v>288.59999999999997</v>
      </c>
      <c r="P92" s="1010"/>
      <c r="Q92" s="1010"/>
      <c r="R92" s="1010"/>
      <c r="S92" s="1010"/>
      <c r="T92" s="1010"/>
      <c r="U92" s="1010"/>
      <c r="V92" s="1010"/>
      <c r="X92" s="1010"/>
      <c r="Y92" s="1010"/>
      <c r="Z92" s="1010"/>
      <c r="AA92" s="1011"/>
      <c r="AB92" s="1010">
        <f t="shared" si="13"/>
        <v>1466.9</v>
      </c>
      <c r="AC92" s="1010"/>
      <c r="AD92" s="1012"/>
      <c r="AE92" s="1010">
        <f>+'Exhibit H'!AD39+'Exhibit G state'!AH73</f>
        <v>1509.3000000000002</v>
      </c>
      <c r="AF92" s="1022"/>
      <c r="AG92" s="1022"/>
      <c r="AH92" s="1010">
        <f t="shared" si="9"/>
        <v>-42.4</v>
      </c>
      <c r="AI92" s="435"/>
      <c r="AJ92" s="2201">
        <f t="shared" si="10"/>
        <v>-2.8000000000000001E-2</v>
      </c>
    </row>
    <row r="93" spans="1:36" ht="15">
      <c r="A93" s="1979" t="s">
        <v>1455</v>
      </c>
      <c r="B93" s="435"/>
      <c r="C93" s="1010">
        <f>+'Exhibit G state'!D74</f>
        <v>1.1000000000000001</v>
      </c>
      <c r="D93" s="1010"/>
      <c r="E93" s="1010">
        <f>+'Exhibit G state'!F74</f>
        <v>0</v>
      </c>
      <c r="F93" s="1010"/>
      <c r="G93" s="1010">
        <f>+'Exhibit G state'!H74</f>
        <v>0.6</v>
      </c>
      <c r="H93" s="1010"/>
      <c r="I93" s="1010">
        <f>+'Exhibit G state'!J74</f>
        <v>17.2</v>
      </c>
      <c r="J93" s="1010"/>
      <c r="K93" s="1010">
        <f>+'Exhibit G state'!L74</f>
        <v>0.6</v>
      </c>
      <c r="L93" s="1010"/>
      <c r="M93" s="1010">
        <f>+'Exhibit G state'!N74</f>
        <v>0.7</v>
      </c>
      <c r="N93" s="1010"/>
      <c r="O93" s="1010">
        <f>+'Exhibit G state'!P74</f>
        <v>4</v>
      </c>
      <c r="P93" s="1010"/>
      <c r="Q93" s="1010"/>
      <c r="R93" s="1010"/>
      <c r="S93" s="1010"/>
      <c r="T93" s="1010"/>
      <c r="U93" s="1010"/>
      <c r="V93" s="1010"/>
      <c r="X93" s="1010"/>
      <c r="Y93" s="1010"/>
      <c r="Z93" s="1010"/>
      <c r="AA93" s="1011"/>
      <c r="AB93" s="1010">
        <f t="shared" si="13"/>
        <v>24.2</v>
      </c>
      <c r="AC93" s="1010"/>
      <c r="AD93" s="1012"/>
      <c r="AE93" s="1010">
        <f>+'Exhibit G state'!AH74</f>
        <v>0.3</v>
      </c>
      <c r="AF93" s="1022"/>
      <c r="AG93" s="1022"/>
      <c r="AH93" s="1010">
        <f t="shared" si="9"/>
        <v>23.9</v>
      </c>
      <c r="AI93" s="435"/>
      <c r="AJ93" s="3157">
        <f t="shared" si="10"/>
        <v>79.667000000000002</v>
      </c>
    </row>
    <row r="94" spans="1:36" ht="15">
      <c r="A94" s="1979" t="s">
        <v>1456</v>
      </c>
      <c r="B94" s="435"/>
      <c r="C94" s="1010">
        <f>+'Exh F'!D84+'Exhibit G state'!D75</f>
        <v>9.6</v>
      </c>
      <c r="D94" s="1010"/>
      <c r="E94" s="1010">
        <f>+'Exh F'!F84+'Exhibit G state'!F75</f>
        <v>13.1</v>
      </c>
      <c r="F94" s="1010"/>
      <c r="G94" s="1010">
        <f>+'Exh F'!H84+'Exhibit G state'!H75</f>
        <v>-4.5</v>
      </c>
      <c r="H94" s="1010"/>
      <c r="I94" s="1010">
        <f>+'Exh F'!J84+'Exhibit G state'!J75</f>
        <v>-13.6</v>
      </c>
      <c r="J94" s="1010"/>
      <c r="K94" s="1010">
        <f>+'Exh F'!L84+'Exhibit G state'!L75</f>
        <v>-13.9</v>
      </c>
      <c r="L94" s="1010"/>
      <c r="M94" s="1010">
        <f>+'Exh F'!N84+'Exhibit G state'!N75</f>
        <v>-10.5</v>
      </c>
      <c r="N94" s="1010"/>
      <c r="O94" s="1010">
        <f>+'Exh F'!P84+'Exhibit G state'!P75</f>
        <v>305.8</v>
      </c>
      <c r="P94" s="1010"/>
      <c r="Q94" s="1010"/>
      <c r="R94" s="1010"/>
      <c r="S94" s="1010"/>
      <c r="T94" s="1010"/>
      <c r="U94" s="1010"/>
      <c r="V94" s="1010"/>
      <c r="X94" s="1010"/>
      <c r="Y94" s="1010"/>
      <c r="Z94" s="1010"/>
      <c r="AA94" s="1011"/>
      <c r="AB94" s="1010">
        <f t="shared" si="13"/>
        <v>286</v>
      </c>
      <c r="AC94" s="1010"/>
      <c r="AD94" s="1012"/>
      <c r="AE94" s="1010">
        <f>+'Exh F'!AF84+'Exhibit G state'!AH75</f>
        <v>13.5</v>
      </c>
      <c r="AF94" s="1022"/>
      <c r="AG94" s="1022"/>
      <c r="AH94" s="1010">
        <f t="shared" si="9"/>
        <v>272.5</v>
      </c>
      <c r="AI94" s="435"/>
      <c r="AJ94" s="3157">
        <f t="shared" si="10"/>
        <v>20.184999999999999</v>
      </c>
    </row>
    <row r="95" spans="1:36" ht="15">
      <c r="A95" s="1979" t="s">
        <v>1457</v>
      </c>
      <c r="B95" s="435"/>
      <c r="C95" s="1010">
        <f>+'Exh F'!D85+'Exhibit G state'!D76</f>
        <v>6.2</v>
      </c>
      <c r="D95" s="1010"/>
      <c r="E95" s="1010">
        <f>+'Exh F'!F85+'Exhibit G state'!F76</f>
        <v>4.5</v>
      </c>
      <c r="F95" s="1010"/>
      <c r="G95" s="1010">
        <f>+'Exh F'!H85+'Exhibit G state'!H76</f>
        <v>13.5</v>
      </c>
      <c r="H95" s="1010"/>
      <c r="I95" s="1010">
        <f>+'Exh F'!J85+'Exhibit G state'!J76</f>
        <v>7.1000000000000014</v>
      </c>
      <c r="J95" s="1010"/>
      <c r="K95" s="1010">
        <f>+'Exh F'!L85+'Exhibit G state'!L76</f>
        <v>12.2</v>
      </c>
      <c r="L95" s="1010"/>
      <c r="M95" s="1010">
        <f>+'Exh F'!N85+'Exhibit G state'!N76</f>
        <v>7.1</v>
      </c>
      <c r="N95" s="1010"/>
      <c r="O95" s="1010">
        <f>+'Exh F'!P85+'Exhibit G state'!P76</f>
        <v>2.6</v>
      </c>
      <c r="P95" s="1010"/>
      <c r="Q95" s="1010"/>
      <c r="R95" s="1010"/>
      <c r="S95" s="1010"/>
      <c r="T95" s="1010"/>
      <c r="U95" s="1010"/>
      <c r="V95" s="1010"/>
      <c r="X95" s="1010"/>
      <c r="Y95" s="1010"/>
      <c r="Z95" s="1010"/>
      <c r="AA95" s="1011"/>
      <c r="AB95" s="1010">
        <f t="shared" si="13"/>
        <v>53.2</v>
      </c>
      <c r="AC95" s="1010"/>
      <c r="AD95" s="1012"/>
      <c r="AE95" s="1010">
        <f>+'Exh F'!AF85+'Exhibit G state'!AH76</f>
        <v>14.899999999999999</v>
      </c>
      <c r="AF95" s="1022"/>
      <c r="AG95" s="1022"/>
      <c r="AH95" s="1010">
        <f t="shared" si="9"/>
        <v>38.299999999999997</v>
      </c>
      <c r="AI95" s="435"/>
      <c r="AJ95" s="2201">
        <f t="shared" si="10"/>
        <v>2.57</v>
      </c>
    </row>
    <row r="96" spans="1:36" ht="15">
      <c r="A96" s="1979" t="s">
        <v>1458</v>
      </c>
      <c r="B96" s="435"/>
      <c r="C96" s="1010">
        <f>+'Exh F'!D86+'Exhibit G state'!D77</f>
        <v>7.6</v>
      </c>
      <c r="D96" s="1010"/>
      <c r="E96" s="1010">
        <f>+'Exh F'!F86+'Exhibit G state'!F77</f>
        <v>3.3999999999999995</v>
      </c>
      <c r="F96" s="1010"/>
      <c r="G96" s="1010">
        <f>+'Exh F'!H86+'Exhibit G state'!H77</f>
        <v>6.3000000000000007</v>
      </c>
      <c r="H96" s="1010"/>
      <c r="I96" s="1010">
        <f>+'Exh F'!J86+'Exhibit G state'!J77</f>
        <v>-1.6</v>
      </c>
      <c r="J96" s="1010"/>
      <c r="K96" s="1010">
        <f>+'Exh F'!L86+'Exhibit G state'!L77</f>
        <v>4.7</v>
      </c>
      <c r="L96" s="1010"/>
      <c r="M96" s="1010">
        <f>+'Exh F'!N86+'Exhibit G state'!N77</f>
        <v>17.7</v>
      </c>
      <c r="N96" s="1010"/>
      <c r="O96" s="1010">
        <f>+'Exh F'!P86+'Exhibit G state'!P77</f>
        <v>-4.5999999999999996</v>
      </c>
      <c r="P96" s="1010"/>
      <c r="Q96" s="1010"/>
      <c r="R96" s="1010"/>
      <c r="S96" s="1010"/>
      <c r="T96" s="1010"/>
      <c r="U96" s="1010"/>
      <c r="V96" s="1010"/>
      <c r="X96" s="1010"/>
      <c r="Y96" s="1010"/>
      <c r="Z96" s="1010"/>
      <c r="AA96" s="1011"/>
      <c r="AB96" s="1010">
        <f t="shared" si="13"/>
        <v>33.5</v>
      </c>
      <c r="AC96" s="1010"/>
      <c r="AD96" s="1012"/>
      <c r="AE96" s="1010">
        <f>+'Exh F'!AF86+'Exhibit G state'!AH77</f>
        <v>113.3</v>
      </c>
      <c r="AF96" s="1022"/>
      <c r="AG96" s="1022"/>
      <c r="AH96" s="1010">
        <f t="shared" si="9"/>
        <v>-79.8</v>
      </c>
      <c r="AI96" s="435"/>
      <c r="AJ96" s="2201">
        <f t="shared" si="10"/>
        <v>-0.70399999999999996</v>
      </c>
    </row>
    <row r="97" spans="1:45" ht="15">
      <c r="A97" s="1979" t="s">
        <v>1459</v>
      </c>
      <c r="B97" s="435"/>
      <c r="C97" s="1010">
        <f>+'Exh F'!D87+'Exhibit G state'!D78</f>
        <v>5.0999999999999996</v>
      </c>
      <c r="D97" s="1010"/>
      <c r="E97" s="1010">
        <f>+'Exh F'!F87+'Exhibit G state'!F78</f>
        <v>-3.1</v>
      </c>
      <c r="F97" s="1010"/>
      <c r="G97" s="1010">
        <f>+'Exh F'!H87+'Exhibit G state'!H78</f>
        <v>1.4000000000000001</v>
      </c>
      <c r="H97" s="1010"/>
      <c r="I97" s="1010">
        <f>+'Exh F'!J87+'Exhibit G state'!J78</f>
        <v>1.7000000000000002</v>
      </c>
      <c r="J97" s="1010"/>
      <c r="K97" s="1010">
        <f>+'Exh F'!L87+'Exhibit G state'!L78</f>
        <v>2.9</v>
      </c>
      <c r="L97" s="1010"/>
      <c r="M97" s="1010">
        <f>+'Exh F'!N87+'Exhibit G state'!N78</f>
        <v>2.5</v>
      </c>
      <c r="N97" s="1010"/>
      <c r="O97" s="1010">
        <f>+'Exh F'!P87+'Exhibit G state'!P78</f>
        <v>2.4</v>
      </c>
      <c r="P97" s="1010"/>
      <c r="Q97" s="1010"/>
      <c r="R97" s="1010"/>
      <c r="S97" s="1010"/>
      <c r="T97" s="1010"/>
      <c r="U97" s="1010"/>
      <c r="V97" s="1010"/>
      <c r="X97" s="1010"/>
      <c r="Y97" s="1010"/>
      <c r="Z97" s="1010"/>
      <c r="AA97" s="1011"/>
      <c r="AB97" s="1010">
        <f t="shared" si="13"/>
        <v>12.9</v>
      </c>
      <c r="AC97" s="1010"/>
      <c r="AD97" s="1012"/>
      <c r="AE97" s="1010">
        <f>+'Exh F'!AF87+'Exhibit G state'!AH78</f>
        <v>15.299999999999999</v>
      </c>
      <c r="AF97" s="1022"/>
      <c r="AG97" s="1022"/>
      <c r="AH97" s="1010">
        <f t="shared" si="9"/>
        <v>-2.4</v>
      </c>
      <c r="AI97" s="435"/>
      <c r="AJ97" s="2201">
        <f t="shared" si="10"/>
        <v>-0.157</v>
      </c>
    </row>
    <row r="98" spans="1:45" ht="15">
      <c r="A98" s="1979" t="s">
        <v>1460</v>
      </c>
      <c r="B98" s="435"/>
      <c r="C98" s="1010">
        <f>+'Exhibit G state'!D79</f>
        <v>72</v>
      </c>
      <c r="D98" s="1010"/>
      <c r="E98" s="1010">
        <f>+'Exhibit G state'!F79</f>
        <v>72.8</v>
      </c>
      <c r="F98" s="1010"/>
      <c r="G98" s="1010">
        <f>+'Exhibit G state'!H79</f>
        <v>111.59999999999997</v>
      </c>
      <c r="H98" s="1010"/>
      <c r="I98" s="1010">
        <f>+'Exhibit G state'!J79</f>
        <v>105</v>
      </c>
      <c r="J98" s="1010"/>
      <c r="K98" s="1010">
        <f>+'Exhibit G state'!L79</f>
        <v>222.5</v>
      </c>
      <c r="L98" s="1010"/>
      <c r="M98" s="1010">
        <f>+'Exhibit G state'!N79</f>
        <v>424.7</v>
      </c>
      <c r="N98" s="1010"/>
      <c r="O98" s="1010">
        <f>+'Exhibit G state'!P79</f>
        <v>201.9</v>
      </c>
      <c r="P98" s="1010"/>
      <c r="Q98" s="1010"/>
      <c r="R98" s="1010"/>
      <c r="S98" s="1010"/>
      <c r="T98" s="1010"/>
      <c r="U98" s="1010"/>
      <c r="V98" s="1010"/>
      <c r="X98" s="1010"/>
      <c r="Y98" s="1010"/>
      <c r="Z98" s="1010"/>
      <c r="AA98" s="1011"/>
      <c r="AB98" s="1010">
        <f t="shared" si="13"/>
        <v>1210.5</v>
      </c>
      <c r="AC98" s="1010"/>
      <c r="AD98" s="1012"/>
      <c r="AE98" s="1010">
        <f>+'Exhibit G state'!AH79</f>
        <v>1133.9000000000001</v>
      </c>
      <c r="AF98" s="1022"/>
      <c r="AG98" s="1022"/>
      <c r="AH98" s="1010">
        <f t="shared" si="9"/>
        <v>76.599999999999994</v>
      </c>
      <c r="AI98" s="435"/>
      <c r="AJ98" s="2201">
        <f t="shared" si="10"/>
        <v>6.8000000000000005E-2</v>
      </c>
    </row>
    <row r="99" spans="1:45" ht="15.75">
      <c r="A99" s="594" t="s">
        <v>1497</v>
      </c>
      <c r="B99" s="417"/>
      <c r="C99" s="489">
        <f>ROUND(SUM(C60:C98),1)</f>
        <v>1368.6</v>
      </c>
      <c r="D99" s="2372"/>
      <c r="E99" s="489">
        <f>ROUND(SUM(E60:E98),1)</f>
        <v>3078.6</v>
      </c>
      <c r="F99" s="2372"/>
      <c r="G99" s="489">
        <f>ROUND(SUM(G60:G98),1)</f>
        <v>1440.7</v>
      </c>
      <c r="H99" s="2154"/>
      <c r="I99" s="489">
        <f>ROUND(SUM(I60:I98),1)</f>
        <v>3667.1</v>
      </c>
      <c r="J99" s="2154"/>
      <c r="K99" s="489">
        <f>ROUND(SUM(K60:K98),1)</f>
        <v>1562.8</v>
      </c>
      <c r="L99" s="2154"/>
      <c r="M99" s="489">
        <f>ROUND(SUM(M60:M98),1)</f>
        <v>2402.5</v>
      </c>
      <c r="N99" s="2154"/>
      <c r="O99" s="489">
        <f>ROUND(SUM(O60:O98),1)</f>
        <v>2017.9</v>
      </c>
      <c r="P99" s="2154"/>
      <c r="Q99" s="489">
        <f>ROUND(SUM(Q60:Q98),1)</f>
        <v>0</v>
      </c>
      <c r="R99" s="2154"/>
      <c r="S99" s="489">
        <f>ROUND(SUM(S60:S98),1)</f>
        <v>0</v>
      </c>
      <c r="T99" s="2154"/>
      <c r="U99" s="489">
        <f>ROUND(SUM(U60:U98),1)</f>
        <v>0</v>
      </c>
      <c r="V99" s="2154"/>
      <c r="W99" s="489">
        <f>ROUND(SUM(W60:W98),1)</f>
        <v>0</v>
      </c>
      <c r="X99" s="414"/>
      <c r="Y99" s="489">
        <f>ROUND(SUM(Y60:Y98),1)</f>
        <v>0</v>
      </c>
      <c r="Z99" s="414"/>
      <c r="AA99" s="490"/>
      <c r="AB99" s="489">
        <f>ROUND(SUM(AB60:AB98),1)</f>
        <v>15538.2</v>
      </c>
      <c r="AC99" s="2154"/>
      <c r="AD99" s="263"/>
      <c r="AE99" s="489">
        <f>ROUND(SUM(AE60:AE98),1)</f>
        <v>11788.3</v>
      </c>
      <c r="AF99" s="277"/>
      <c r="AG99" s="2381"/>
      <c r="AH99" s="489">
        <f>ROUND(SUM(AH60:AH98),1)</f>
        <v>3749.9</v>
      </c>
      <c r="AI99" s="277"/>
      <c r="AJ99" s="2373">
        <f>ROUND(SUM(+AH99/AE99),3)</f>
        <v>0.318</v>
      </c>
    </row>
    <row r="100" spans="1:45" ht="15">
      <c r="A100" s="435"/>
      <c r="B100" s="435"/>
      <c r="C100" s="1010"/>
      <c r="D100" s="1010"/>
      <c r="E100" s="1010"/>
      <c r="F100" s="1010"/>
      <c r="G100" s="1010"/>
      <c r="H100" s="1010"/>
      <c r="I100" s="1010"/>
      <c r="J100" s="1010"/>
      <c r="K100" s="1010"/>
      <c r="L100" s="1010"/>
      <c r="M100" s="1010"/>
      <c r="N100" s="1010"/>
      <c r="O100" s="1010"/>
      <c r="P100" s="1010"/>
      <c r="Q100" s="1010"/>
      <c r="R100" s="1010"/>
      <c r="S100" s="1010"/>
      <c r="T100" s="1010"/>
      <c r="U100" s="1010"/>
      <c r="V100" s="1010"/>
      <c r="X100" s="1010"/>
      <c r="Y100" s="1010"/>
      <c r="Z100" s="1010"/>
      <c r="AA100" s="2200"/>
      <c r="AB100" s="1010"/>
      <c r="AC100" s="1022"/>
      <c r="AD100" s="1011"/>
      <c r="AE100" s="1010"/>
      <c r="AF100" s="1022"/>
      <c r="AG100" s="1022"/>
      <c r="AH100" s="1010"/>
      <c r="AI100" s="435"/>
      <c r="AJ100" s="2201"/>
    </row>
    <row r="101" spans="1:45" ht="15">
      <c r="A101" s="435" t="s">
        <v>22</v>
      </c>
      <c r="B101" s="435"/>
      <c r="C101" s="1015">
        <f>+'Exh F'!D90+'Exhibit G state'!D82+'Exhibit H'!B42</f>
        <v>0.5</v>
      </c>
      <c r="D101" s="1010"/>
      <c r="E101" s="1015">
        <f>+'Exh F'!F90+'Exhibit G state'!F82+'Exhibit H'!D42</f>
        <v>0</v>
      </c>
      <c r="F101" s="1010"/>
      <c r="G101" s="1015">
        <f>+'Exh F'!H90+'Exhibit G state'!H82+'Exhibit H'!F42</f>
        <v>0</v>
      </c>
      <c r="H101" s="1010"/>
      <c r="I101" s="1015">
        <f>+'Exh F'!J90+'Exhibit G state'!J82+'Exhibit H'!H42</f>
        <v>1.6</v>
      </c>
      <c r="J101" s="1010"/>
      <c r="K101" s="1015">
        <f>+'Exh F'!L90+'Exhibit G state'!L82+'Exhibit H'!J42</f>
        <v>35</v>
      </c>
      <c r="L101" s="1010"/>
      <c r="M101" s="1015">
        <f>+'Exh F'!N90+'Exhibit G state'!N82+'Exhibit H'!L42</f>
        <v>0.2</v>
      </c>
      <c r="N101" s="1010"/>
      <c r="O101" s="1015">
        <f>+'Exh F'!P90+'Exhibit G state'!P82+'Exhibit H'!N42</f>
        <v>0</v>
      </c>
      <c r="P101" s="1010"/>
      <c r="Q101" s="1015"/>
      <c r="R101" s="1010"/>
      <c r="S101" s="1015"/>
      <c r="T101" s="1010"/>
      <c r="U101" s="1015"/>
      <c r="V101" s="1010"/>
      <c r="W101" s="1371"/>
      <c r="X101" s="1010"/>
      <c r="Y101" s="1015"/>
      <c r="Z101" s="1010"/>
      <c r="AA101" s="1011"/>
      <c r="AB101" s="1015">
        <f>ROUND(SUM(C101:Y101),1)</f>
        <v>37.299999999999997</v>
      </c>
      <c r="AC101" s="1010"/>
      <c r="AD101" s="1012"/>
      <c r="AE101" s="1015">
        <f>+'Exh F'!AF90+'Exhibit G state'!AH82+'Exhibit H'!AD42</f>
        <v>34.599999999999994</v>
      </c>
      <c r="AF101" s="1022"/>
      <c r="AG101" s="1022"/>
      <c r="AH101" s="1015">
        <f>ROUND(SUM(AB101-AE101),1)</f>
        <v>2.7</v>
      </c>
      <c r="AI101" s="435"/>
      <c r="AJ101" s="2201">
        <f>ROUND(SUM(AH101/AE101),3)</f>
        <v>7.8E-2</v>
      </c>
    </row>
    <row r="102" spans="1:45" ht="15">
      <c r="A102" s="435"/>
      <c r="B102" s="435"/>
      <c r="C102" s="1010"/>
      <c r="D102" s="1010"/>
      <c r="E102" s="1010"/>
      <c r="F102" s="1010"/>
      <c r="G102" s="1010"/>
      <c r="H102" s="1010"/>
      <c r="I102" s="1010"/>
      <c r="J102" s="1010"/>
      <c r="K102" s="1010"/>
      <c r="L102" s="1010"/>
      <c r="M102" s="1010"/>
      <c r="N102" s="1010"/>
      <c r="O102" s="1010"/>
      <c r="P102" s="1010"/>
      <c r="Q102" s="1010"/>
      <c r="R102" s="1010"/>
      <c r="S102" s="1010"/>
      <c r="T102" s="1010"/>
      <c r="U102" s="1010"/>
      <c r="V102" s="1010"/>
      <c r="W102" s="1010"/>
      <c r="X102" s="1010"/>
      <c r="Y102" s="1010"/>
      <c r="Z102" s="1010"/>
      <c r="AA102" s="1011"/>
      <c r="AB102" s="1010"/>
      <c r="AC102" s="1010"/>
      <c r="AD102" s="1012"/>
      <c r="AE102" s="1010"/>
      <c r="AF102" s="1022"/>
      <c r="AG102" s="1022"/>
      <c r="AH102" s="1010"/>
      <c r="AI102" s="435"/>
      <c r="AJ102" s="1016"/>
    </row>
    <row r="103" spans="1:45" ht="15.75">
      <c r="A103" s="225" t="s">
        <v>158</v>
      </c>
      <c r="B103" s="226"/>
      <c r="C103" s="1883">
        <f>ROUND(SUM(C101+C99+C56),1)</f>
        <v>8384.2999999999993</v>
      </c>
      <c r="D103" s="2154"/>
      <c r="E103" s="1883">
        <f>ROUND(SUM(E101+E99+E56),1)</f>
        <v>7051.8</v>
      </c>
      <c r="F103" s="2154"/>
      <c r="G103" s="1883">
        <f>ROUND(SUM(G101+G99+G56),1)</f>
        <v>8836.9</v>
      </c>
      <c r="H103" s="2154"/>
      <c r="I103" s="1883">
        <f>ROUND(SUM(I101+I99+I56),1)</f>
        <v>7862.4</v>
      </c>
      <c r="J103" s="2154"/>
      <c r="K103" s="1883">
        <f>ROUND(SUM(K101+K99+K56),1)</f>
        <v>5388.6</v>
      </c>
      <c r="L103" s="2154"/>
      <c r="M103" s="1883">
        <f>ROUND(SUM(M101+M99+M56),1)</f>
        <v>9527.2999999999993</v>
      </c>
      <c r="N103" s="2154"/>
      <c r="O103" s="1883">
        <f>ROUND(SUM(O101+O99+O56),1)</f>
        <v>6078.6</v>
      </c>
      <c r="P103" s="2154"/>
      <c r="Q103" s="1883">
        <f>ROUND(SUM(Q101+Q99+Q56),1)</f>
        <v>0</v>
      </c>
      <c r="R103" s="2154"/>
      <c r="S103" s="1883">
        <f>ROUND(SUM(S101+S99+S56),1)</f>
        <v>0</v>
      </c>
      <c r="T103" s="2154"/>
      <c r="U103" s="1883">
        <f>ROUND(SUM(U101+U99+U56),1)</f>
        <v>0</v>
      </c>
      <c r="V103" s="2154"/>
      <c r="W103" s="1883">
        <f>ROUND(SUM(W101+W99+W56),1)</f>
        <v>0</v>
      </c>
      <c r="X103" s="414"/>
      <c r="Y103" s="1883">
        <f>ROUND(SUM(Y101+Y99+Y56),1)</f>
        <v>0</v>
      </c>
      <c r="Z103" s="482"/>
      <c r="AA103" s="483"/>
      <c r="AB103" s="1883">
        <f>ROUND(SUM(AB101+AB99+AB56),1)</f>
        <v>53129.9</v>
      </c>
      <c r="AC103" s="2154"/>
      <c r="AD103" s="263"/>
      <c r="AE103" s="1883">
        <f>ROUND(SUM(AE101+AE99+AE56),1)</f>
        <v>49629.8</v>
      </c>
      <c r="AF103" s="277"/>
      <c r="AG103" s="2381"/>
      <c r="AH103" s="1883">
        <f>ROUND(SUM(AH101+AH99+AH56),1)</f>
        <v>3500.1</v>
      </c>
      <c r="AI103" s="277"/>
      <c r="AJ103" s="530">
        <f>ROUND(SUM(+AH103/AE103),3)</f>
        <v>7.0999999999999994E-2</v>
      </c>
      <c r="AK103" s="810"/>
      <c r="AL103" s="810"/>
      <c r="AM103" s="810"/>
      <c r="AN103" s="810"/>
      <c r="AO103" s="810"/>
      <c r="AP103" s="810"/>
      <c r="AQ103" s="810"/>
      <c r="AR103" s="810"/>
      <c r="AS103" s="810"/>
    </row>
    <row r="104" spans="1:45" ht="15.75">
      <c r="A104" s="414"/>
      <c r="B104" s="435"/>
      <c r="C104" s="1021"/>
      <c r="D104" s="1010"/>
      <c r="E104" s="1021"/>
      <c r="F104" s="1010"/>
      <c r="G104" s="1021"/>
      <c r="H104" s="1010"/>
      <c r="I104" s="1021"/>
      <c r="J104" s="1010"/>
      <c r="K104" s="1021"/>
      <c r="L104" s="1010"/>
      <c r="M104" s="1021"/>
      <c r="N104" s="1010"/>
      <c r="O104" s="1021"/>
      <c r="P104" s="1010"/>
      <c r="Q104" s="1021"/>
      <c r="R104" s="1010"/>
      <c r="S104" s="1021"/>
      <c r="T104" s="1010"/>
      <c r="U104" s="1021"/>
      <c r="V104" s="1010"/>
      <c r="W104" s="1021"/>
      <c r="X104" s="1010"/>
      <c r="Y104" s="1021"/>
      <c r="Z104" s="1010"/>
      <c r="AA104" s="1011"/>
      <c r="AB104" s="1021"/>
      <c r="AC104" s="1010"/>
      <c r="AD104" s="1012"/>
      <c r="AE104" s="1021"/>
      <c r="AF104" s="1022"/>
      <c r="AG104" s="1022"/>
      <c r="AH104" s="1214"/>
      <c r="AI104" s="435"/>
      <c r="AJ104" s="1857"/>
    </row>
    <row r="105" spans="1:45" ht="15.75">
      <c r="A105" s="414" t="s">
        <v>24</v>
      </c>
      <c r="B105" s="435"/>
      <c r="C105" s="1022"/>
      <c r="D105" s="1010"/>
      <c r="E105" s="1022"/>
      <c r="F105" s="1010"/>
      <c r="G105" s="1022"/>
      <c r="H105" s="1010"/>
      <c r="I105" s="1022"/>
      <c r="J105" s="1010"/>
      <c r="K105" s="1022"/>
      <c r="L105" s="1010"/>
      <c r="M105" s="1022"/>
      <c r="N105" s="1010"/>
      <c r="O105" s="1022"/>
      <c r="P105" s="1010"/>
      <c r="Q105" s="1022"/>
      <c r="R105" s="1010"/>
      <c r="S105" s="1022"/>
      <c r="T105" s="1010"/>
      <c r="U105" s="1022"/>
      <c r="V105" s="1010"/>
      <c r="W105" s="1022"/>
      <c r="X105" s="1010"/>
      <c r="Y105" s="1022"/>
      <c r="Z105" s="1010"/>
      <c r="AA105" s="1011"/>
      <c r="AB105" s="1022"/>
      <c r="AC105" s="1010"/>
      <c r="AD105" s="1012"/>
      <c r="AE105" s="1022"/>
      <c r="AF105" s="1022"/>
      <c r="AG105" s="1022"/>
      <c r="AH105" s="1214"/>
      <c r="AI105" s="435"/>
      <c r="AJ105" s="1857"/>
    </row>
    <row r="106" spans="1:45" ht="15">
      <c r="A106" s="435" t="s">
        <v>144</v>
      </c>
      <c r="B106" s="435"/>
      <c r="C106" s="1010"/>
      <c r="D106" s="1010"/>
      <c r="E106" s="1010"/>
      <c r="F106" s="1010"/>
      <c r="G106" s="1010"/>
      <c r="H106" s="1010"/>
      <c r="I106" s="1010"/>
      <c r="J106" s="1010"/>
      <c r="K106" s="1010"/>
      <c r="L106" s="1010"/>
      <c r="M106" s="1010"/>
      <c r="N106" s="1010"/>
      <c r="O106" s="1010"/>
      <c r="P106" s="1010"/>
      <c r="Q106" s="1010"/>
      <c r="R106" s="1010"/>
      <c r="S106" s="1010"/>
      <c r="T106" s="1010"/>
      <c r="U106" s="1010"/>
      <c r="V106" s="1010"/>
      <c r="W106" s="1010"/>
      <c r="X106" s="1010"/>
      <c r="Y106" s="1010"/>
      <c r="Z106" s="1010"/>
      <c r="AA106" s="1011"/>
      <c r="AB106" s="1010"/>
      <c r="AC106" s="1010"/>
      <c r="AD106" s="1012"/>
      <c r="AE106" s="1214"/>
      <c r="AF106" s="1022"/>
      <c r="AG106" s="1022"/>
      <c r="AH106" s="1010"/>
      <c r="AI106" s="435"/>
      <c r="AJ106" s="2201"/>
    </row>
    <row r="107" spans="1:45" ht="15">
      <c r="A107" s="2205" t="s">
        <v>26</v>
      </c>
      <c r="B107" s="435"/>
      <c r="C107" s="1010">
        <f>+'Exh F'!D96+'Exhibit G state'!D88</f>
        <v>317</v>
      </c>
      <c r="D107" s="1010"/>
      <c r="E107" s="2365">
        <f>+'Exh F'!F96+'Exhibit G state'!F88</f>
        <v>3022.6</v>
      </c>
      <c r="F107" s="1010"/>
      <c r="G107" s="2365">
        <f>+'Exh F'!H96+'Exhibit G state'!H88</f>
        <v>3060.2999999999997</v>
      </c>
      <c r="H107" s="1010"/>
      <c r="I107" s="2365">
        <f>+'Exh F'!J96+'Exhibit G state'!J88</f>
        <v>890.8</v>
      </c>
      <c r="J107" s="1010"/>
      <c r="K107" s="2365">
        <f>+'Exh F'!L96+'Exhibit G state'!L88</f>
        <v>868.6</v>
      </c>
      <c r="L107" s="1010"/>
      <c r="M107" s="2365">
        <f>+'Exh F'!N96+'Exhibit G state'!N88</f>
        <v>4504</v>
      </c>
      <c r="N107" s="1010"/>
      <c r="O107" s="2365">
        <f>+'Exh F'!P96+'Exhibit G state'!P88</f>
        <v>1449.3999999999999</v>
      </c>
      <c r="P107" s="1010"/>
      <c r="Q107" s="1023"/>
      <c r="R107" s="1010"/>
      <c r="S107" s="1023"/>
      <c r="T107" s="1010"/>
      <c r="U107" s="1024"/>
      <c r="V107" s="1010"/>
      <c r="X107" s="1010"/>
      <c r="Y107" s="1010"/>
      <c r="Z107" s="1010"/>
      <c r="AA107" s="1011"/>
      <c r="AB107" s="1214">
        <f>ROUND(SUM(C107:Y107),1)</f>
        <v>14112.7</v>
      </c>
      <c r="AC107" s="1010"/>
      <c r="AD107" s="1012"/>
      <c r="AE107" s="1214">
        <f>+'Exh F'!AF96+'Exhibit G state'!AH88</f>
        <v>12841.3</v>
      </c>
      <c r="AF107" s="1022"/>
      <c r="AG107" s="1022"/>
      <c r="AH107" s="1010">
        <f>ROUND(SUM(AB107-AE107),1)</f>
        <v>1271.4000000000001</v>
      </c>
      <c r="AI107" s="435"/>
      <c r="AJ107" s="2201">
        <f>ROUND(SUM(AH107/AE107),3)</f>
        <v>9.9000000000000005E-2</v>
      </c>
    </row>
    <row r="108" spans="1:45" ht="15">
      <c r="A108" s="2205" t="s">
        <v>27</v>
      </c>
      <c r="B108" s="435"/>
      <c r="C108" s="1010">
        <f>+'Exh F'!D97+'Exhibit G state'!D89</f>
        <v>0.30000000000000004</v>
      </c>
      <c r="D108" s="1010"/>
      <c r="E108" s="2365">
        <f>+'Exh F'!F97+'Exhibit G state'!F89</f>
        <v>0.1</v>
      </c>
      <c r="F108" s="1010"/>
      <c r="G108" s="2365">
        <f>+'Exh F'!H97+'Exhibit G state'!H89</f>
        <v>0.6</v>
      </c>
      <c r="H108" s="1010"/>
      <c r="I108" s="2365">
        <f>+'Exh F'!J97+'Exhibit G state'!J89</f>
        <v>2.2000000000000002</v>
      </c>
      <c r="J108" s="1010"/>
      <c r="K108" s="2365">
        <f>+'Exh F'!L97+'Exhibit G state'!L89</f>
        <v>1.3</v>
      </c>
      <c r="L108" s="1010"/>
      <c r="M108" s="2365">
        <f>+'Exh F'!N97+'Exhibit G state'!N89</f>
        <v>0.8</v>
      </c>
      <c r="N108" s="1010"/>
      <c r="O108" s="2365">
        <f>+'Exh F'!P97+'Exhibit G state'!P89</f>
        <v>0.2</v>
      </c>
      <c r="P108" s="1010"/>
      <c r="Q108" s="1023"/>
      <c r="R108" s="1010"/>
      <c r="S108" s="1023"/>
      <c r="T108" s="1010"/>
      <c r="U108" s="1024"/>
      <c r="V108" s="1010"/>
      <c r="X108" s="1010"/>
      <c r="Y108" s="1010"/>
      <c r="Z108" s="1010"/>
      <c r="AA108" s="1011"/>
      <c r="AB108" s="1214">
        <f t="shared" ref="AB108:AB115" si="14">ROUND(SUM(C108:Y108),1)</f>
        <v>5.5</v>
      </c>
      <c r="AC108" s="1010"/>
      <c r="AD108" s="1012"/>
      <c r="AE108" s="1214">
        <f>+'Exh F'!AF97+'Exhibit G state'!AH89</f>
        <v>6.3</v>
      </c>
      <c r="AF108" s="1022"/>
      <c r="AG108" s="1022"/>
      <c r="AH108" s="1010">
        <f t="shared" ref="AH108:AH115" si="15">ROUND(SUM(AB108-AE108),1)</f>
        <v>-0.8</v>
      </c>
      <c r="AI108" s="435"/>
      <c r="AJ108" s="2201">
        <f t="shared" ref="AJ108:AJ115" si="16">ROUND(SUM(AH108/AE108),3)</f>
        <v>-0.127</v>
      </c>
    </row>
    <row r="109" spans="1:45" ht="15">
      <c r="A109" s="2205" t="s">
        <v>28</v>
      </c>
      <c r="B109" s="435"/>
      <c r="C109" s="1010">
        <f>+'Exh F'!D98+'Exhibit G state'!D90</f>
        <v>14.2</v>
      </c>
      <c r="D109" s="1010"/>
      <c r="E109" s="2365">
        <f>+'Exh F'!F98+'Exhibit G state'!F90</f>
        <v>21.1</v>
      </c>
      <c r="F109" s="1010"/>
      <c r="G109" s="2365">
        <f>+'Exh F'!H98+'Exhibit G state'!H90</f>
        <v>570.9</v>
      </c>
      <c r="H109" s="1010"/>
      <c r="I109" s="2365">
        <f>+'Exh F'!J98+'Exhibit G state'!J90</f>
        <v>29.6</v>
      </c>
      <c r="J109" s="1010"/>
      <c r="K109" s="2365">
        <f>+'Exh F'!L98+'Exhibit G state'!L90</f>
        <v>49.7</v>
      </c>
      <c r="L109" s="1010"/>
      <c r="M109" s="2365">
        <f>+'Exh F'!N98+'Exhibit G state'!N90</f>
        <v>153.5</v>
      </c>
      <c r="N109" s="1010"/>
      <c r="O109" s="2365">
        <f>+'Exh F'!P98+'Exhibit G state'!P90</f>
        <v>21.2</v>
      </c>
      <c r="P109" s="1010"/>
      <c r="Q109" s="1023"/>
      <c r="R109" s="1010"/>
      <c r="S109" s="1023"/>
      <c r="T109" s="1010"/>
      <c r="U109" s="1024"/>
      <c r="V109" s="1010"/>
      <c r="X109" s="1010"/>
      <c r="Y109" s="1010"/>
      <c r="Z109" s="1010"/>
      <c r="AA109" s="1011"/>
      <c r="AB109" s="1214">
        <f t="shared" si="14"/>
        <v>860.2</v>
      </c>
      <c r="AC109" s="1010"/>
      <c r="AD109" s="1012"/>
      <c r="AE109" s="1214">
        <f>+'Exh F'!AF98+'Exhibit G state'!AH90</f>
        <v>932</v>
      </c>
      <c r="AF109" s="1022"/>
      <c r="AG109" s="1022"/>
      <c r="AH109" s="1010">
        <f t="shared" si="15"/>
        <v>-71.8</v>
      </c>
      <c r="AI109" s="435"/>
      <c r="AJ109" s="2201">
        <f t="shared" si="16"/>
        <v>-7.6999999999999999E-2</v>
      </c>
    </row>
    <row r="110" spans="1:45" ht="15">
      <c r="A110" s="2205" t="s">
        <v>29</v>
      </c>
      <c r="B110" s="435"/>
      <c r="C110" s="1010"/>
      <c r="D110" s="1010"/>
      <c r="E110" s="2365"/>
      <c r="F110" s="1010"/>
      <c r="G110" s="2365"/>
      <c r="H110" s="1010"/>
      <c r="I110" s="2365"/>
      <c r="J110" s="1010"/>
      <c r="K110" s="2365"/>
      <c r="L110" s="1010"/>
      <c r="M110" s="2365"/>
      <c r="N110" s="1010"/>
      <c r="O110" s="2365"/>
      <c r="P110" s="1010"/>
      <c r="Q110" s="1023"/>
      <c r="R110" s="1010"/>
      <c r="S110" s="1023"/>
      <c r="T110" s="1010"/>
      <c r="U110" s="1010"/>
      <c r="V110" s="1010"/>
      <c r="X110" s="1010"/>
      <c r="Y110" s="1010"/>
      <c r="Z110" s="1010"/>
      <c r="AA110" s="1011"/>
      <c r="AB110" s="1214"/>
      <c r="AC110" s="1010"/>
      <c r="AD110" s="1012"/>
      <c r="AE110" s="1296"/>
      <c r="AF110" s="1022"/>
      <c r="AG110" s="1022"/>
      <c r="AH110" s="1010" t="s">
        <v>16</v>
      </c>
      <c r="AI110" s="435"/>
      <c r="AJ110" s="2201"/>
    </row>
    <row r="111" spans="1:45" ht="15">
      <c r="A111" s="2206" t="s">
        <v>30</v>
      </c>
      <c r="B111" s="435"/>
      <c r="C111" s="1010">
        <f>+'Exh F'!D100+'Exhibit G state'!D92</f>
        <v>1369.8000000000002</v>
      </c>
      <c r="D111" s="1010"/>
      <c r="E111" s="2365">
        <f>+'Exh F'!F100+'Exhibit G state'!F92</f>
        <v>1531.4</v>
      </c>
      <c r="F111" s="1010"/>
      <c r="G111" s="2365">
        <f>+'Exh F'!H100+'Exhibit G state'!H92</f>
        <v>1463</v>
      </c>
      <c r="H111" s="1010"/>
      <c r="I111" s="2365">
        <f>+'Exh F'!J100+'Exhibit G state'!J92</f>
        <v>1663.4</v>
      </c>
      <c r="J111" s="1010"/>
      <c r="K111" s="2365">
        <f>+'Exh F'!L100+'Exhibit G state'!L92</f>
        <v>1182.2</v>
      </c>
      <c r="L111" s="1010"/>
      <c r="M111" s="2365">
        <f>+'Exh F'!N100+'Exhibit G state'!N92</f>
        <v>1383.6</v>
      </c>
      <c r="N111" s="1010"/>
      <c r="O111" s="2365">
        <f>+'Exh F'!P100+'Exhibit G state'!P92</f>
        <v>1589.6</v>
      </c>
      <c r="P111" s="1010"/>
      <c r="Q111" s="1023"/>
      <c r="R111" s="1010"/>
      <c r="S111" s="1023"/>
      <c r="T111" s="1010"/>
      <c r="U111" s="1010"/>
      <c r="V111" s="1010"/>
      <c r="X111" s="1010"/>
      <c r="Y111" s="1010"/>
      <c r="Z111" s="1010"/>
      <c r="AA111" s="1011"/>
      <c r="AB111" s="1214">
        <f t="shared" si="14"/>
        <v>10183</v>
      </c>
      <c r="AC111" s="1010"/>
      <c r="AD111" s="1012"/>
      <c r="AE111" s="1214">
        <f>+'Exh F'!AF100+'Exhibit G state'!AH92</f>
        <v>10048.200000000001</v>
      </c>
      <c r="AF111" s="1022"/>
      <c r="AG111" s="1022"/>
      <c r="AH111" s="1010">
        <f t="shared" si="15"/>
        <v>134.80000000000001</v>
      </c>
      <c r="AI111" s="435"/>
      <c r="AJ111" s="2201">
        <f t="shared" si="16"/>
        <v>1.2999999999999999E-2</v>
      </c>
      <c r="AK111" s="423"/>
    </row>
    <row r="112" spans="1:45" ht="15">
      <c r="A112" s="2205" t="s">
        <v>31</v>
      </c>
      <c r="B112" s="435"/>
      <c r="C112" s="1010">
        <f>+'Exh F'!D101+'Exhibit G state'!D93</f>
        <v>83.3</v>
      </c>
      <c r="D112" s="1010"/>
      <c r="E112" s="2365">
        <f>+'Exh F'!F101+'Exhibit G state'!F93</f>
        <v>216.6</v>
      </c>
      <c r="F112" s="1010"/>
      <c r="G112" s="2365">
        <f>+'Exh F'!H101+'Exhibit G state'!H93</f>
        <v>348.29999999999995</v>
      </c>
      <c r="H112" s="1010"/>
      <c r="I112" s="2365">
        <f>+'Exh F'!J101+'Exhibit G state'!J93</f>
        <v>340.70000000000005</v>
      </c>
      <c r="J112" s="1010"/>
      <c r="K112" s="2365">
        <f>+'Exh F'!L101+'Exhibit G state'!L93</f>
        <v>251.39999999999998</v>
      </c>
      <c r="L112" s="1010"/>
      <c r="M112" s="2365">
        <f>+'Exh F'!N101+'Exhibit G state'!N93</f>
        <v>266.2</v>
      </c>
      <c r="N112" s="1010"/>
      <c r="O112" s="2365">
        <f>+'Exh F'!P101+'Exhibit G state'!P93</f>
        <v>296.2</v>
      </c>
      <c r="P112" s="1010"/>
      <c r="Q112" s="1023"/>
      <c r="R112" s="1010"/>
      <c r="S112" s="1023"/>
      <c r="T112" s="1010"/>
      <c r="U112" s="1010"/>
      <c r="V112" s="1010"/>
      <c r="X112" s="1010"/>
      <c r="Y112" s="1010"/>
      <c r="Z112" s="1010"/>
      <c r="AA112" s="1011"/>
      <c r="AB112" s="1214">
        <f t="shared" si="14"/>
        <v>1802.7</v>
      </c>
      <c r="AC112" s="2202"/>
      <c r="AD112" s="1010"/>
      <c r="AE112" s="1214">
        <f>+'Exh F'!AF101+'Exhibit G state'!AH93</f>
        <v>1770.7</v>
      </c>
      <c r="AF112" s="1022"/>
      <c r="AG112" s="1022"/>
      <c r="AH112" s="1010">
        <f t="shared" si="15"/>
        <v>32</v>
      </c>
      <c r="AI112" s="435"/>
      <c r="AJ112" s="2201">
        <f t="shared" si="16"/>
        <v>1.7999999999999999E-2</v>
      </c>
    </row>
    <row r="113" spans="1:44" ht="15">
      <c r="A113" s="2205" t="s">
        <v>32</v>
      </c>
      <c r="B113" s="435"/>
      <c r="C113" s="1010">
        <f>+'Exh F'!D102+'Exhibit G state'!D94</f>
        <v>15.2</v>
      </c>
      <c r="D113" s="1010"/>
      <c r="E113" s="2365">
        <f>+'Exh F'!F102+'Exhibit G state'!F94</f>
        <v>27.9</v>
      </c>
      <c r="F113" s="1010"/>
      <c r="G113" s="2365">
        <f>+'Exh F'!H102+'Exhibit G state'!H94</f>
        <v>20</v>
      </c>
      <c r="H113" s="1010"/>
      <c r="I113" s="2365">
        <f>+'Exh F'!J102+'Exhibit G state'!J94</f>
        <v>25.700000000000003</v>
      </c>
      <c r="J113" s="1010"/>
      <c r="K113" s="2365">
        <f>+'Exh F'!L102+'Exhibit G state'!L94</f>
        <v>21.4</v>
      </c>
      <c r="L113" s="1010"/>
      <c r="M113" s="2365">
        <f>+'Exh F'!N102+'Exhibit G state'!N94</f>
        <v>39.700000000000003</v>
      </c>
      <c r="N113" s="1010"/>
      <c r="O113" s="2365">
        <f>+'Exh F'!P102+'Exhibit G state'!P94</f>
        <v>12.7</v>
      </c>
      <c r="P113" s="1010"/>
      <c r="Q113" s="1023"/>
      <c r="R113" s="1010"/>
      <c r="S113" s="1023"/>
      <c r="T113" s="1010"/>
      <c r="U113" s="1010"/>
      <c r="V113" s="1010"/>
      <c r="X113" s="1010"/>
      <c r="Y113" s="1010"/>
      <c r="Z113" s="1010"/>
      <c r="AA113" s="1011"/>
      <c r="AB113" s="1214">
        <f t="shared" si="14"/>
        <v>162.6</v>
      </c>
      <c r="AC113" s="2207"/>
      <c r="AD113" s="1012"/>
      <c r="AE113" s="1214">
        <f>+'Exh F'!AF102+'Exhibit G state'!AH94</f>
        <v>157.1</v>
      </c>
      <c r="AF113" s="1022"/>
      <c r="AG113" s="1022"/>
      <c r="AH113" s="1010">
        <f t="shared" si="15"/>
        <v>5.5</v>
      </c>
      <c r="AI113" s="435"/>
      <c r="AJ113" s="2201">
        <f t="shared" si="16"/>
        <v>3.5000000000000003E-2</v>
      </c>
    </row>
    <row r="114" spans="1:44" ht="15">
      <c r="A114" s="2205" t="s">
        <v>33</v>
      </c>
      <c r="B114" s="435"/>
      <c r="C114" s="1010">
        <f>+'Exh F'!D103+'Exhibit G state'!D95</f>
        <v>128.19999999999999</v>
      </c>
      <c r="D114" s="1010"/>
      <c r="E114" s="2365">
        <f>+'Exh F'!F103+'Exhibit G state'!F95</f>
        <v>203</v>
      </c>
      <c r="F114" s="1010"/>
      <c r="G114" s="2365">
        <f>+'Exh F'!H103+'Exhibit G state'!H95</f>
        <v>236.89999999999998</v>
      </c>
      <c r="H114" s="1010"/>
      <c r="I114" s="2365">
        <f>+'Exh F'!J103+'Exhibit G state'!J95</f>
        <v>254.5</v>
      </c>
      <c r="J114" s="1010"/>
      <c r="K114" s="2365">
        <f>+'Exh F'!L103+'Exhibit G state'!L95</f>
        <v>154.1</v>
      </c>
      <c r="L114" s="1010"/>
      <c r="M114" s="2365">
        <f>+'Exh F'!N103+'Exhibit G state'!N95</f>
        <v>244.5</v>
      </c>
      <c r="N114" s="1010"/>
      <c r="O114" s="2365">
        <f>+'Exh F'!P103+'Exhibit G state'!P95</f>
        <v>267.09999999999997</v>
      </c>
      <c r="P114" s="1010"/>
      <c r="Q114" s="1023"/>
      <c r="R114" s="1010"/>
      <c r="S114" s="1023"/>
      <c r="T114" s="1010"/>
      <c r="U114" s="1010"/>
      <c r="V114" s="1010"/>
      <c r="X114" s="1010"/>
      <c r="Y114" s="1010"/>
      <c r="Z114" s="1010"/>
      <c r="AA114" s="1011"/>
      <c r="AB114" s="1214">
        <f t="shared" si="14"/>
        <v>1488.3</v>
      </c>
      <c r="AC114" s="2207"/>
      <c r="AD114" s="1012"/>
      <c r="AE114" s="1214">
        <f>+'Exh F'!AF103+'Exhibit G state'!AH95</f>
        <v>1601.6000000000001</v>
      </c>
      <c r="AF114" s="1022"/>
      <c r="AG114" s="1022"/>
      <c r="AH114" s="1010">
        <f t="shared" si="15"/>
        <v>-113.3</v>
      </c>
      <c r="AI114" s="435"/>
      <c r="AJ114" s="2201">
        <f t="shared" si="16"/>
        <v>-7.0999999999999994E-2</v>
      </c>
    </row>
    <row r="115" spans="1:44" ht="15">
      <c r="A115" s="2205" t="s">
        <v>34</v>
      </c>
      <c r="B115" s="435"/>
      <c r="C115" s="1010">
        <f>+'Exh F'!D104+'Exhibit G state'!D96</f>
        <v>8</v>
      </c>
      <c r="D115" s="1010"/>
      <c r="E115" s="2365">
        <f>+'Exh F'!F104+'Exhibit G state'!F96</f>
        <v>8.3000000000000007</v>
      </c>
      <c r="F115" s="1010"/>
      <c r="G115" s="2365">
        <f>+'Exh F'!H104+'Exhibit G state'!H96</f>
        <v>10.8</v>
      </c>
      <c r="H115" s="1010"/>
      <c r="I115" s="2365">
        <f>+'Exh F'!J104+'Exhibit G state'!J96</f>
        <v>208.2</v>
      </c>
      <c r="J115" s="1010"/>
      <c r="K115" s="2365">
        <f>+'Exh F'!L104+'Exhibit G state'!L96</f>
        <v>6.3</v>
      </c>
      <c r="L115" s="1010"/>
      <c r="M115" s="2365">
        <f>+'Exh F'!N104+'Exhibit G state'!N96</f>
        <v>7.8000000000000007</v>
      </c>
      <c r="N115" s="1010"/>
      <c r="O115" s="2365">
        <f>+'Exh F'!P104+'Exhibit G state'!P96</f>
        <v>10.3</v>
      </c>
      <c r="P115" s="1010"/>
      <c r="Q115" s="1023"/>
      <c r="R115" s="1010"/>
      <c r="S115" s="1023"/>
      <c r="T115" s="1010"/>
      <c r="U115" s="1010"/>
      <c r="V115" s="1010"/>
      <c r="X115" s="1010"/>
      <c r="Y115" s="1010"/>
      <c r="Z115" s="1010"/>
      <c r="AA115" s="1011"/>
      <c r="AB115" s="1214">
        <f t="shared" si="14"/>
        <v>259.7</v>
      </c>
      <c r="AC115" s="2207"/>
      <c r="AD115" s="1012"/>
      <c r="AE115" s="1214">
        <f>+'Exh F'!AF104+'Exhibit G state'!AH96</f>
        <v>285.10000000000002</v>
      </c>
      <c r="AF115" s="1022"/>
      <c r="AG115" s="1022"/>
      <c r="AH115" s="1010">
        <f t="shared" si="15"/>
        <v>-25.4</v>
      </c>
      <c r="AI115" s="435"/>
      <c r="AJ115" s="2201">
        <f t="shared" si="16"/>
        <v>-8.8999999999999996E-2</v>
      </c>
    </row>
    <row r="116" spans="1:44" ht="15">
      <c r="A116" s="2205" t="s">
        <v>35</v>
      </c>
      <c r="B116" s="435"/>
      <c r="C116" s="1010">
        <f>+'Exh F'!D105+'Exhibit G state'!D97</f>
        <v>155.19999999999999</v>
      </c>
      <c r="D116" s="1010"/>
      <c r="E116" s="2365">
        <f>+'Exh F'!F105+'Exhibit G state'!F97</f>
        <v>566</v>
      </c>
      <c r="F116" s="1010"/>
      <c r="G116" s="2365">
        <f>+'Exh F'!H105+'Exhibit G state'!H97</f>
        <v>337.9</v>
      </c>
      <c r="H116" s="1010"/>
      <c r="I116" s="2365">
        <f>+'Exh F'!J105+'Exhibit G state'!J97</f>
        <v>352.3</v>
      </c>
      <c r="J116" s="1010"/>
      <c r="K116" s="2365">
        <f>+'Exh F'!L105+'Exhibit G state'!L97</f>
        <v>478.7</v>
      </c>
      <c r="L116" s="1010"/>
      <c r="M116" s="2365">
        <f>+'Exh F'!N105+'Exhibit G state'!N97</f>
        <v>402.5</v>
      </c>
      <c r="N116" s="1010"/>
      <c r="O116" s="2365">
        <f>+'Exh F'!P105+'Exhibit G state'!P97</f>
        <v>333.6</v>
      </c>
      <c r="P116" s="1010"/>
      <c r="Q116" s="1023"/>
      <c r="R116" s="1010"/>
      <c r="S116" s="1023"/>
      <c r="T116" s="1010"/>
      <c r="U116" s="1010"/>
      <c r="V116" s="1010"/>
      <c r="X116" s="1010"/>
      <c r="Y116" s="1010"/>
      <c r="Z116" s="1010"/>
      <c r="AA116" s="1011"/>
      <c r="AB116" s="1010">
        <f>ROUND(SUM(C116:Y116),1)</f>
        <v>2626.2</v>
      </c>
      <c r="AC116" s="2207"/>
      <c r="AD116" s="1012"/>
      <c r="AE116" s="1214">
        <f>+'Exh F'!AF105+'Exhibit G state'!AH97</f>
        <v>2627.2000000000003</v>
      </c>
      <c r="AF116" s="1022"/>
      <c r="AG116" s="1022"/>
      <c r="AH116" s="1010">
        <f>ROUND(SUM(AB116-AE116),1)</f>
        <v>-1</v>
      </c>
      <c r="AI116" s="435"/>
      <c r="AJ116" s="1311">
        <f>ROUND(SUM(AH116/AE116),3)</f>
        <v>0</v>
      </c>
    </row>
    <row r="117" spans="1:44" ht="15.75">
      <c r="A117" s="435" t="s">
        <v>36</v>
      </c>
      <c r="B117" s="435"/>
      <c r="C117" s="1029">
        <f>ROUND(SUM(C107:C116),1)</f>
        <v>2091.1999999999998</v>
      </c>
      <c r="D117" s="1018"/>
      <c r="E117" s="1029">
        <f>ROUND(SUM(E107:E116),1)</f>
        <v>5597</v>
      </c>
      <c r="F117" s="1018"/>
      <c r="G117" s="1029">
        <f>ROUND(SUM(G107:G116),1)</f>
        <v>6048.7</v>
      </c>
      <c r="H117" s="1018"/>
      <c r="I117" s="1029">
        <f>ROUND(SUM(I107:I116),1)</f>
        <v>3767.4</v>
      </c>
      <c r="J117" s="1018"/>
      <c r="K117" s="1029">
        <f>ROUND(SUM(K107:K116),1)</f>
        <v>3013.7</v>
      </c>
      <c r="L117" s="1018"/>
      <c r="M117" s="1029">
        <f>ROUND(SUM(M107:M116),1)</f>
        <v>7002.6</v>
      </c>
      <c r="N117" s="1018"/>
      <c r="O117" s="1029">
        <f>ROUND(SUM(O107:O116),1)</f>
        <v>3980.3</v>
      </c>
      <c r="P117" s="1018"/>
      <c r="Q117" s="1029">
        <f>ROUND(SUM(Q107:Q116),1)</f>
        <v>0</v>
      </c>
      <c r="R117" s="1018"/>
      <c r="S117" s="1029">
        <f>ROUND(SUM(S107:S116),1)</f>
        <v>0</v>
      </c>
      <c r="T117" s="1018"/>
      <c r="U117" s="1029">
        <f>ROUND(SUM(U107:U116),1)</f>
        <v>0</v>
      </c>
      <c r="V117" s="1018"/>
      <c r="W117" s="1029">
        <f>ROUND(SUM(W107:W116),1)</f>
        <v>0</v>
      </c>
      <c r="X117" s="1018"/>
      <c r="Y117" s="1029">
        <f>ROUND(SUM(Y107:Y116),1)</f>
        <v>0</v>
      </c>
      <c r="Z117" s="1018"/>
      <c r="AA117" s="1019"/>
      <c r="AB117" s="1029">
        <f>ROUND(SUM(AB107:AB116),1)</f>
        <v>31500.9</v>
      </c>
      <c r="AC117" s="2209"/>
      <c r="AD117" s="1020"/>
      <c r="AE117" s="489">
        <f>ROUND(SUM(AE107:AE116),1)</f>
        <v>30269.5</v>
      </c>
      <c r="AF117" s="2380"/>
      <c r="AG117" s="2380"/>
      <c r="AH117" s="489">
        <f>ROUND(SUM(AH107:AH116),1)</f>
        <v>1231.4000000000001</v>
      </c>
      <c r="AI117" s="1000"/>
      <c r="AJ117" s="533">
        <f>ROUND(SUM(AH117/AE117),3)</f>
        <v>4.1000000000000002E-2</v>
      </c>
      <c r="AK117" s="810"/>
      <c r="AL117" s="810"/>
    </row>
    <row r="118" spans="1:44" ht="15">
      <c r="A118" s="435" t="s">
        <v>37</v>
      </c>
      <c r="B118" s="435"/>
      <c r="C118" s="1022"/>
      <c r="D118" s="1010"/>
      <c r="E118" s="1022"/>
      <c r="F118" s="1010"/>
      <c r="G118" s="1022"/>
      <c r="H118" s="1010"/>
      <c r="I118" s="1022"/>
      <c r="J118" s="1010"/>
      <c r="K118" s="1022"/>
      <c r="L118" s="1010"/>
      <c r="M118" s="1022"/>
      <c r="N118" s="1010"/>
      <c r="O118" s="1022"/>
      <c r="P118" s="1010"/>
      <c r="Q118" s="1022"/>
      <c r="R118" s="1010"/>
      <c r="S118" s="1022"/>
      <c r="T118" s="1010"/>
      <c r="U118" s="1022"/>
      <c r="V118" s="1010"/>
      <c r="W118" s="1022"/>
      <c r="X118" s="1010"/>
      <c r="Y118" s="1022"/>
      <c r="Z118" s="1010"/>
      <c r="AA118" s="1011"/>
      <c r="AB118" s="1022"/>
      <c r="AC118" s="1010"/>
      <c r="AD118" s="1012"/>
      <c r="AE118" s="2176"/>
      <c r="AF118" s="1022"/>
      <c r="AG118" s="1022"/>
      <c r="AH118" s="1214"/>
      <c r="AI118" s="435"/>
      <c r="AJ118" s="1857"/>
    </row>
    <row r="119" spans="1:44" ht="15">
      <c r="A119" s="435" t="s">
        <v>145</v>
      </c>
      <c r="B119" s="435"/>
      <c r="C119" s="1010">
        <f>+'Exh F'!D108+'Exhibit G state'!D100</f>
        <v>1004.1999999999999</v>
      </c>
      <c r="D119" s="1010"/>
      <c r="E119" s="1022">
        <f>+'Exh F'!F108+'Exhibit G state'!F100</f>
        <v>1135.9000000000001</v>
      </c>
      <c r="F119" s="1010"/>
      <c r="G119" s="1022">
        <f>+'Exh F'!H108+'Exhibit G state'!H100</f>
        <v>953.3</v>
      </c>
      <c r="H119" s="1010"/>
      <c r="I119" s="1022">
        <f>+'Exh F'!J108+'Exhibit G state'!J100</f>
        <v>1271.5</v>
      </c>
      <c r="J119" s="1010"/>
      <c r="K119" s="1022">
        <f>+'Exh F'!L108+'Exhibit G state'!L100</f>
        <v>957.4</v>
      </c>
      <c r="L119" s="1010"/>
      <c r="M119" s="1022">
        <f>+'Exh F'!N108+'Exhibit G state'!N100</f>
        <v>968.3</v>
      </c>
      <c r="N119" s="1010"/>
      <c r="O119" s="1022">
        <f>+'Exh F'!P108+'Exhibit G state'!P100</f>
        <v>1128.4000000000001</v>
      </c>
      <c r="P119" s="1010"/>
      <c r="Q119" s="1022"/>
      <c r="R119" s="1010"/>
      <c r="S119" s="1022"/>
      <c r="T119" s="1010"/>
      <c r="U119" s="1022"/>
      <c r="V119" s="1010"/>
      <c r="X119" s="1010"/>
      <c r="Y119" s="1010"/>
      <c r="Z119" s="1010"/>
      <c r="AA119" s="1011"/>
      <c r="AB119" s="1010">
        <f>ROUND(SUM(C119:Y119),1)</f>
        <v>7419</v>
      </c>
      <c r="AC119" s="1010"/>
      <c r="AD119" s="1012"/>
      <c r="AE119" s="1214">
        <f>+'Exh F'!AF108+'Exhibit G state'!AH100</f>
        <v>7351.5</v>
      </c>
      <c r="AF119" s="1022"/>
      <c r="AG119" s="1022"/>
      <c r="AH119" s="1010">
        <f>ROUND(SUM(AB119-AE119),1)</f>
        <v>67.5</v>
      </c>
      <c r="AI119" s="435"/>
      <c r="AJ119" s="2201">
        <f>ROUND(SUM(AH119/AE119),3)</f>
        <v>8.9999999999999993E-3</v>
      </c>
    </row>
    <row r="120" spans="1:44" ht="15">
      <c r="A120" s="435" t="s">
        <v>146</v>
      </c>
      <c r="B120" s="435"/>
      <c r="C120" s="1010">
        <f>+'Exh F'!D109+'Exhibit G state'!D101+'Exhibit H'!B48</f>
        <v>354.69999999999993</v>
      </c>
      <c r="D120" s="1010"/>
      <c r="E120" s="1022">
        <f>+'Exh F'!F109+'Exhibit G state'!F101+'Exhibit H'!D48</f>
        <v>395.3</v>
      </c>
      <c r="F120" s="1010"/>
      <c r="G120" s="1022">
        <f>+'Exh F'!H109+'Exhibit G state'!H101+'Exhibit H'!F48</f>
        <v>477.5</v>
      </c>
      <c r="H120" s="1010"/>
      <c r="I120" s="1022">
        <f>+'Exh F'!J109+'Exhibit G state'!J101+'Exhibit H'!H48</f>
        <v>393.3</v>
      </c>
      <c r="J120" s="1010"/>
      <c r="K120" s="1022">
        <f>+'Exh F'!L109+'Exhibit G state'!L101+'Exhibit H'!J48</f>
        <v>438.29999999999995</v>
      </c>
      <c r="L120" s="1010"/>
      <c r="M120" s="1022">
        <f>+'Exh F'!N109+'Exhibit G state'!N101+'Exhibit H'!L48</f>
        <v>466.2</v>
      </c>
      <c r="N120" s="1010"/>
      <c r="O120" s="1022">
        <f>+'Exh F'!P109+'Exhibit G state'!P101+'Exhibit H'!N48</f>
        <v>520.9</v>
      </c>
      <c r="P120" s="1010"/>
      <c r="Q120" s="1022"/>
      <c r="R120" s="1010"/>
      <c r="S120" s="1022"/>
      <c r="T120" s="1010"/>
      <c r="U120" s="1022"/>
      <c r="V120" s="1010"/>
      <c r="X120" s="1010"/>
      <c r="Y120" s="1010"/>
      <c r="Z120" s="1010"/>
      <c r="AA120" s="1011"/>
      <c r="AB120" s="1010">
        <f>ROUND(SUM(C120:Y120),1)</f>
        <v>3046.2</v>
      </c>
      <c r="AC120" s="1010"/>
      <c r="AD120" s="1012"/>
      <c r="AE120" s="1214">
        <f>+'Exh F'!AF109+'Exhibit G state'!AH101+'Exhibit H'!AD48</f>
        <v>3050.5</v>
      </c>
      <c r="AF120" s="1022"/>
      <c r="AG120" s="1022"/>
      <c r="AH120" s="1010">
        <f>ROUND(SUM(AB120-AE120),1)</f>
        <v>-4.3</v>
      </c>
      <c r="AI120" s="435"/>
      <c r="AJ120" s="2201">
        <f>ROUND(SUM(AH120/AE120),3)</f>
        <v>-1E-3</v>
      </c>
    </row>
    <row r="121" spans="1:44" ht="15">
      <c r="A121" s="435" t="s">
        <v>40</v>
      </c>
      <c r="B121" s="435"/>
      <c r="C121" s="1010">
        <f>+'Exh F'!D110+'Exhibit G state'!D102</f>
        <v>679.1</v>
      </c>
      <c r="D121" s="1010"/>
      <c r="E121" s="1022">
        <f>+'Exh F'!F110+'Exhibit G state'!F102</f>
        <v>836</v>
      </c>
      <c r="F121" s="1010"/>
      <c r="G121" s="1022">
        <f>+'Exh F'!H110+'Exhibit G state'!H102</f>
        <v>468</v>
      </c>
      <c r="H121" s="1010"/>
      <c r="I121" s="1022">
        <f>+'Exh F'!J110+'Exhibit G state'!J102</f>
        <v>739.30000000000007</v>
      </c>
      <c r="J121" s="1010"/>
      <c r="K121" s="1022">
        <f>+'Exh F'!L110+'Exhibit G state'!L102</f>
        <v>548.20000000000005</v>
      </c>
      <c r="L121" s="1010"/>
      <c r="M121" s="1022">
        <f>+'Exh F'!N110+'Exhibit G state'!N102</f>
        <v>1167.9000000000001</v>
      </c>
      <c r="N121" s="1010"/>
      <c r="O121" s="1022">
        <f>+'Exh F'!P110+'Exhibit G state'!P102</f>
        <v>477.8</v>
      </c>
      <c r="P121" s="1010"/>
      <c r="Q121" s="1022"/>
      <c r="R121" s="1010"/>
      <c r="S121" s="1022"/>
      <c r="T121" s="1010"/>
      <c r="U121" s="1022"/>
      <c r="V121" s="1010"/>
      <c r="X121" s="1010"/>
      <c r="Y121" s="1010"/>
      <c r="Z121" s="1010"/>
      <c r="AA121" s="1011"/>
      <c r="AB121" s="1010">
        <f>ROUND(SUM(C121:Y121),1)</f>
        <v>4916.3</v>
      </c>
      <c r="AC121" s="1010"/>
      <c r="AD121" s="1012"/>
      <c r="AE121" s="1214">
        <f>+'Exh F'!AF110+'Exhibit G state'!AH102</f>
        <v>3991.6000000000004</v>
      </c>
      <c r="AF121" s="1022"/>
      <c r="AG121" s="1022"/>
      <c r="AH121" s="1010">
        <f>ROUND(SUM(AB121-AE121),1)</f>
        <v>924.7</v>
      </c>
      <c r="AI121" s="435"/>
      <c r="AJ121" s="2201">
        <f>ROUND(SUM(AH121/AE121),3)</f>
        <v>0.23200000000000001</v>
      </c>
    </row>
    <row r="122" spans="1:44" ht="15">
      <c r="A122" s="435" t="s">
        <v>41</v>
      </c>
      <c r="B122" s="435"/>
      <c r="C122" s="1022"/>
      <c r="D122" s="1010"/>
      <c r="E122" s="1022"/>
      <c r="F122" s="1010"/>
      <c r="G122" s="1022"/>
      <c r="H122" s="1010"/>
      <c r="I122" s="1022"/>
      <c r="J122" s="1010"/>
      <c r="K122" s="1022"/>
      <c r="L122" s="1010"/>
      <c r="M122" s="1022"/>
      <c r="N122" s="1010"/>
      <c r="O122" s="1022"/>
      <c r="P122" s="1010"/>
      <c r="Q122" s="1022"/>
      <c r="R122" s="1010"/>
      <c r="S122" s="1022"/>
      <c r="T122" s="1010"/>
      <c r="U122" s="1022"/>
      <c r="V122" s="1010"/>
      <c r="X122" s="1010"/>
      <c r="Y122" s="1010"/>
      <c r="Z122" s="1010"/>
      <c r="AA122" s="1011"/>
      <c r="AB122" s="1010"/>
      <c r="AC122" s="1010"/>
      <c r="AD122" s="1012"/>
      <c r="AE122" s="1022"/>
      <c r="AF122" s="1022"/>
      <c r="AG122" s="1022"/>
      <c r="AH122" s="1010"/>
      <c r="AI122" s="435"/>
      <c r="AJ122" s="2201"/>
    </row>
    <row r="123" spans="1:44" ht="15">
      <c r="A123" s="435" t="s">
        <v>42</v>
      </c>
      <c r="B123" s="435"/>
      <c r="C123" s="1010">
        <f>+'Exhibit H'!B50</f>
        <v>173.2</v>
      </c>
      <c r="D123" s="1010"/>
      <c r="E123" s="1022">
        <f>+'Exhibit H'!D50</f>
        <v>216.8</v>
      </c>
      <c r="F123" s="1010"/>
      <c r="G123" s="1022">
        <f>+'Exhibit H'!F50</f>
        <v>290.8</v>
      </c>
      <c r="H123" s="1010"/>
      <c r="I123" s="1022">
        <f>+'Exhibit H'!H50</f>
        <v>77.7</v>
      </c>
      <c r="J123" s="1010"/>
      <c r="K123" s="1022">
        <f>+'Exhibit H'!J50</f>
        <v>396.9</v>
      </c>
      <c r="L123" s="1010"/>
      <c r="M123" s="1022">
        <f>+'Exhibit H'!L50</f>
        <v>752.3</v>
      </c>
      <c r="N123" s="1010"/>
      <c r="O123" s="1022">
        <f>+'Exhibit H'!N50</f>
        <v>144.6</v>
      </c>
      <c r="P123" s="1010"/>
      <c r="Q123" s="1022"/>
      <c r="R123" s="1010"/>
      <c r="S123" s="1022"/>
      <c r="T123" s="1010"/>
      <c r="U123" s="1022"/>
      <c r="V123" s="1010"/>
      <c r="X123" s="1010"/>
      <c r="Y123" s="1010"/>
      <c r="Z123" s="1010"/>
      <c r="AA123" s="1011"/>
      <c r="AB123" s="1010">
        <f>ROUND(SUM(C123:Y123),1)</f>
        <v>2052.3000000000002</v>
      </c>
      <c r="AC123" s="1010"/>
      <c r="AD123" s="1012"/>
      <c r="AE123" s="2176">
        <f>+'Exhibit H'!AD50</f>
        <v>2305.4</v>
      </c>
      <c r="AF123" s="1022"/>
      <c r="AG123" s="1022"/>
      <c r="AH123" s="1010">
        <f>ROUND(SUM(AB123-AE123),1)</f>
        <v>-253.1</v>
      </c>
      <c r="AI123" s="435"/>
      <c r="AJ123" s="2201">
        <f>ROUND(SUM(AH123/AE123),3)</f>
        <v>-0.11</v>
      </c>
    </row>
    <row r="124" spans="1:44" ht="15">
      <c r="A124" s="1028" t="s">
        <v>147</v>
      </c>
      <c r="B124" s="435"/>
      <c r="C124" s="1015">
        <f>+'Exhibit G state'!D103</f>
        <v>0.1</v>
      </c>
      <c r="D124" s="1010"/>
      <c r="E124" s="1015">
        <f>+'Exhibit G state'!F103</f>
        <v>0.2</v>
      </c>
      <c r="F124" s="1010"/>
      <c r="G124" s="1015">
        <f>+'Exhibit G state'!H103</f>
        <v>0.1</v>
      </c>
      <c r="H124" s="1010"/>
      <c r="I124" s="1015">
        <f>+'Exhibit G state'!J103</f>
        <v>0.2</v>
      </c>
      <c r="J124" s="1010"/>
      <c r="K124" s="1015">
        <f>+'Exhibit G state'!L103</f>
        <v>0.2</v>
      </c>
      <c r="L124" s="1010"/>
      <c r="M124" s="1015">
        <f>+'Exhibit G state'!N103</f>
        <v>0.1</v>
      </c>
      <c r="N124" s="1010"/>
      <c r="O124" s="1015">
        <f>+'Exhibit G state'!P103</f>
        <v>0.1</v>
      </c>
      <c r="P124" s="1010"/>
      <c r="Q124" s="1015"/>
      <c r="R124" s="1010"/>
      <c r="S124" s="1015"/>
      <c r="T124" s="1010"/>
      <c r="U124" s="1015"/>
      <c r="V124" s="1010"/>
      <c r="W124" s="1371"/>
      <c r="X124" s="1010"/>
      <c r="Y124" s="1015"/>
      <c r="Z124" s="1010"/>
      <c r="AA124" s="1011"/>
      <c r="AB124" s="1015">
        <f>ROUND(SUM(C124:Y124),1)</f>
        <v>1</v>
      </c>
      <c r="AC124" s="1010"/>
      <c r="AD124" s="1012"/>
      <c r="AE124" s="2162">
        <f>+'Exhibit G state'!AH103</f>
        <v>4.9000000000000004</v>
      </c>
      <c r="AF124" s="1022"/>
      <c r="AG124" s="1022"/>
      <c r="AH124" s="1015">
        <f>ROUND(SUM(AB124-AE124),1)</f>
        <v>-3.9</v>
      </c>
      <c r="AI124" s="435"/>
      <c r="AJ124" s="2210">
        <f>ROUND(SUM(AH124/AE124),3)</f>
        <v>-0.79600000000000004</v>
      </c>
    </row>
    <row r="125" spans="1:44" ht="16.5" customHeight="1">
      <c r="A125" s="435"/>
      <c r="B125" s="435"/>
      <c r="C125" s="1022"/>
      <c r="D125" s="1010"/>
      <c r="E125" s="1022"/>
      <c r="F125" s="1010"/>
      <c r="G125" s="1022"/>
      <c r="H125" s="1010"/>
      <c r="I125" s="1022"/>
      <c r="J125" s="1010"/>
      <c r="K125" s="1022"/>
      <c r="L125" s="1010"/>
      <c r="M125" s="1022"/>
      <c r="N125" s="1010"/>
      <c r="O125" s="1022"/>
      <c r="P125" s="1010"/>
      <c r="Q125" s="1022"/>
      <c r="R125" s="1010"/>
      <c r="S125" s="1022"/>
      <c r="T125" s="1010"/>
      <c r="U125" s="1022"/>
      <c r="V125" s="1010"/>
      <c r="W125" s="1022"/>
      <c r="X125" s="1010"/>
      <c r="Y125" s="1022"/>
      <c r="Z125" s="1010"/>
      <c r="AA125" s="1011"/>
      <c r="AB125" s="1022"/>
      <c r="AC125" s="1010"/>
      <c r="AD125" s="1012"/>
      <c r="AE125" s="1022"/>
      <c r="AF125" s="1022"/>
      <c r="AG125" s="1022"/>
      <c r="AH125" s="1022"/>
      <c r="AI125" s="435"/>
      <c r="AJ125" s="1311"/>
    </row>
    <row r="126" spans="1:44" ht="16.5" customHeight="1">
      <c r="A126" s="414" t="s">
        <v>61</v>
      </c>
      <c r="B126" s="435"/>
      <c r="C126" s="2203">
        <f>ROUND(SUM(C117:C124),1)</f>
        <v>4302.5</v>
      </c>
      <c r="D126" s="1018"/>
      <c r="E126" s="2203">
        <f>ROUND(SUM(E117:E124),1)</f>
        <v>8181.2</v>
      </c>
      <c r="F126" s="1018"/>
      <c r="G126" s="2203">
        <f>ROUND(SUM(G117:G124),1)</f>
        <v>8238.4</v>
      </c>
      <c r="H126" s="1018"/>
      <c r="I126" s="2203">
        <f>ROUND(SUM(I117:I124),1)</f>
        <v>6249.4</v>
      </c>
      <c r="J126" s="1018"/>
      <c r="K126" s="2203">
        <f>ROUND(SUM(K117:K124),1)</f>
        <v>5354.7</v>
      </c>
      <c r="L126" s="1018"/>
      <c r="M126" s="2203">
        <f>ROUND(SUM(M117:M124),1)</f>
        <v>10357.4</v>
      </c>
      <c r="N126" s="1018"/>
      <c r="O126" s="2203">
        <f>ROUND(SUM(O117:O124),1)</f>
        <v>6252.1</v>
      </c>
      <c r="P126" s="1018"/>
      <c r="Q126" s="2203">
        <f>ROUND(SUM(Q117:Q124),1)</f>
        <v>0</v>
      </c>
      <c r="R126" s="1018"/>
      <c r="S126" s="2203">
        <f>ROUND(SUM(S117:S124),1)</f>
        <v>0</v>
      </c>
      <c r="T126" s="1018"/>
      <c r="U126" s="2203">
        <f>ROUND(SUM(U117:U124),1)</f>
        <v>0</v>
      </c>
      <c r="V126" s="1018"/>
      <c r="W126" s="2203">
        <f>ROUND(SUM(W117:W124),1)</f>
        <v>0</v>
      </c>
      <c r="X126" s="1018"/>
      <c r="Y126" s="2203">
        <f>ROUND(SUM(Y117:Y124),1)</f>
        <v>0</v>
      </c>
      <c r="Z126" s="1018"/>
      <c r="AA126" s="1019"/>
      <c r="AB126" s="2203">
        <f>ROUND(SUM(AB117:AB124),1)</f>
        <v>48935.7</v>
      </c>
      <c r="AC126" s="1018"/>
      <c r="AD126" s="1020"/>
      <c r="AE126" s="1883">
        <f>ROUND(SUM(AE117:AE125),1)</f>
        <v>46973.4</v>
      </c>
      <c r="AF126" s="2380"/>
      <c r="AG126" s="2380"/>
      <c r="AH126" s="1883">
        <f>ROUND(SUM(AH117:AH125),1)</f>
        <v>1962.3</v>
      </c>
      <c r="AI126" s="1000"/>
      <c r="AJ126" s="2204">
        <f>ROUND(SUM(AH126/AE126),3)</f>
        <v>4.2000000000000003E-2</v>
      </c>
      <c r="AK126" s="810"/>
      <c r="AL126" s="810"/>
      <c r="AM126" s="810"/>
      <c r="AN126" s="810"/>
      <c r="AO126" s="810"/>
      <c r="AP126" s="810"/>
      <c r="AQ126" s="810"/>
      <c r="AR126" s="810"/>
    </row>
    <row r="127" spans="1:44" ht="16.5" customHeight="1">
      <c r="A127" s="414"/>
      <c r="B127" s="435"/>
      <c r="C127" s="1010"/>
      <c r="D127" s="1010"/>
      <c r="E127" s="1010"/>
      <c r="F127" s="1010"/>
      <c r="G127" s="1010"/>
      <c r="H127" s="1010"/>
      <c r="I127" s="1010"/>
      <c r="J127" s="1010"/>
      <c r="K127" s="1010"/>
      <c r="L127" s="1010"/>
      <c r="M127" s="1010"/>
      <c r="N127" s="1010"/>
      <c r="O127" s="1010"/>
      <c r="P127" s="1010"/>
      <c r="Q127" s="1010"/>
      <c r="R127" s="1010"/>
      <c r="S127" s="1010"/>
      <c r="T127" s="1010"/>
      <c r="U127" s="1010"/>
      <c r="V127" s="1010"/>
      <c r="W127" s="1010"/>
      <c r="X127" s="1010"/>
      <c r="Y127" s="1010"/>
      <c r="Z127" s="1010"/>
      <c r="AA127" s="1011"/>
      <c r="AB127" s="1010"/>
      <c r="AC127" s="1010"/>
      <c r="AD127" s="1012"/>
      <c r="AE127" s="1010"/>
      <c r="AF127" s="1022"/>
      <c r="AG127" s="1022"/>
      <c r="AH127" s="1214"/>
      <c r="AI127" s="435"/>
      <c r="AJ127" s="1857"/>
    </row>
    <row r="128" spans="1:44" ht="16.5" customHeight="1">
      <c r="A128" s="414" t="s">
        <v>45</v>
      </c>
      <c r="B128" s="435"/>
      <c r="C128" s="1010"/>
      <c r="D128" s="1010"/>
      <c r="E128" s="1010"/>
      <c r="F128" s="1010"/>
      <c r="G128" s="1010"/>
      <c r="H128" s="1010"/>
      <c r="I128" s="1010"/>
      <c r="J128" s="1010"/>
      <c r="K128" s="1010"/>
      <c r="L128" s="1010"/>
      <c r="M128" s="1010"/>
      <c r="N128" s="1010"/>
      <c r="O128" s="1010"/>
      <c r="P128" s="1010"/>
      <c r="Q128" s="1010"/>
      <c r="R128" s="1010"/>
      <c r="S128" s="1010"/>
      <c r="T128" s="1010"/>
      <c r="U128" s="1010"/>
      <c r="V128" s="1010"/>
      <c r="W128" s="1010"/>
      <c r="X128" s="1010"/>
      <c r="Y128" s="1010"/>
      <c r="Z128" s="1010"/>
      <c r="AA128" s="1011"/>
      <c r="AB128" s="1010"/>
      <c r="AC128" s="1010"/>
      <c r="AD128" s="1012"/>
      <c r="AE128" s="1010"/>
      <c r="AF128" s="1022"/>
      <c r="AG128" s="1022"/>
      <c r="AH128" s="1214"/>
      <c r="AI128" s="435"/>
      <c r="AJ128" s="1857"/>
    </row>
    <row r="129" spans="1:59" ht="16.5" customHeight="1">
      <c r="A129" s="414" t="s">
        <v>46</v>
      </c>
      <c r="B129" s="435"/>
      <c r="C129" s="2203">
        <f>ROUND(SUM(C103-C126),1)</f>
        <v>4081.8</v>
      </c>
      <c r="D129" s="1018"/>
      <c r="E129" s="2203">
        <f>ROUND(SUM(E103-E126),1)</f>
        <v>-1129.4000000000001</v>
      </c>
      <c r="F129" s="1018"/>
      <c r="G129" s="2203">
        <f>ROUND(SUM(G103-G126),1)</f>
        <v>598.5</v>
      </c>
      <c r="H129" s="1018"/>
      <c r="I129" s="2203">
        <f>ROUND(SUM(I103-I126),1)</f>
        <v>1613</v>
      </c>
      <c r="J129" s="1018"/>
      <c r="K129" s="2203">
        <f>ROUND(SUM(K103-K126),1)</f>
        <v>33.9</v>
      </c>
      <c r="L129" s="1018"/>
      <c r="M129" s="2203">
        <f>ROUND(SUM(M103-M126),1)</f>
        <v>-830.1</v>
      </c>
      <c r="N129" s="1018"/>
      <c r="O129" s="2203">
        <f>ROUND(SUM(O103-O126),1)</f>
        <v>-173.5</v>
      </c>
      <c r="P129" s="1018"/>
      <c r="Q129" s="2203">
        <f>ROUND(SUM(Q103-Q126),1)</f>
        <v>0</v>
      </c>
      <c r="R129" s="1018"/>
      <c r="S129" s="2203">
        <f>ROUND(SUM(S103-S126),1)</f>
        <v>0</v>
      </c>
      <c r="T129" s="1018"/>
      <c r="U129" s="2203">
        <f>ROUND(SUM(U103-U126),1)</f>
        <v>0</v>
      </c>
      <c r="V129" s="1018"/>
      <c r="W129" s="2203">
        <f>ROUND(SUM(W103-W126),1)</f>
        <v>0</v>
      </c>
      <c r="X129" s="1018"/>
      <c r="Y129" s="2203">
        <f>ROUND(SUM(Y103-Y126),1)</f>
        <v>0</v>
      </c>
      <c r="Z129" s="1018"/>
      <c r="AA129" s="1019"/>
      <c r="AB129" s="2203">
        <f>ROUND(SUM(AB103-AB126),1)</f>
        <v>4194.2</v>
      </c>
      <c r="AC129" s="1018"/>
      <c r="AD129" s="1020"/>
      <c r="AE129" s="2203">
        <f>ROUND(SUM(AE103-AE126),1)</f>
        <v>2656.4</v>
      </c>
      <c r="AF129" s="2380"/>
      <c r="AG129" s="2380"/>
      <c r="AH129" s="2211">
        <f>ROUND(SUM(AB129-AE129),1)</f>
        <v>1537.8</v>
      </c>
      <c r="AI129" s="1000"/>
      <c r="AJ129" s="2204">
        <f>ROUND(SUM(-AH129/AE129*-1),3)</f>
        <v>0.57899999999999996</v>
      </c>
      <c r="AK129" s="810"/>
      <c r="AL129" s="810"/>
    </row>
    <row r="130" spans="1:59" ht="16.5" customHeight="1">
      <c r="A130" s="1857"/>
      <c r="B130" s="435"/>
      <c r="C130" s="1021"/>
      <c r="D130" s="1010"/>
      <c r="E130" s="1021"/>
      <c r="F130" s="1010"/>
      <c r="G130" s="1021"/>
      <c r="H130" s="1010"/>
      <c r="I130" s="1021"/>
      <c r="J130" s="1010"/>
      <c r="K130" s="1021"/>
      <c r="L130" s="1010"/>
      <c r="M130" s="1021"/>
      <c r="N130" s="1010"/>
      <c r="O130" s="1021"/>
      <c r="P130" s="1010"/>
      <c r="Q130" s="1021"/>
      <c r="R130" s="1010"/>
      <c r="S130" s="1021"/>
      <c r="T130" s="1010"/>
      <c r="U130" s="1021"/>
      <c r="V130" s="1010"/>
      <c r="W130" s="1021"/>
      <c r="X130" s="1010"/>
      <c r="Y130" s="1021"/>
      <c r="Z130" s="1026"/>
      <c r="AA130" s="1011"/>
      <c r="AB130" s="1021"/>
      <c r="AC130" s="1010"/>
      <c r="AD130" s="1012"/>
      <c r="AE130" s="1021"/>
      <c r="AF130" s="1022"/>
      <c r="AG130" s="1022"/>
      <c r="AH130" s="1214"/>
      <c r="AI130" s="435"/>
      <c r="AJ130" s="1857"/>
    </row>
    <row r="131" spans="1:59" ht="16.5" customHeight="1">
      <c r="A131" s="414" t="s">
        <v>47</v>
      </c>
      <c r="B131" s="435"/>
      <c r="C131" s="1022"/>
      <c r="D131" s="1010"/>
      <c r="E131" s="1032"/>
      <c r="F131" s="1033"/>
      <c r="G131" s="1032"/>
      <c r="H131" s="1033"/>
      <c r="I131" s="1032"/>
      <c r="J131" s="1033"/>
      <c r="K131" s="1032"/>
      <c r="L131" s="1033"/>
      <c r="M131" s="1032"/>
      <c r="N131" s="1033"/>
      <c r="O131" s="1032"/>
      <c r="P131" s="1033"/>
      <c r="Q131" s="1032"/>
      <c r="R131" s="1033"/>
      <c r="S131" s="1032"/>
      <c r="T131" s="1033"/>
      <c r="U131" s="1032"/>
      <c r="V131" s="1010"/>
      <c r="W131" s="1032"/>
      <c r="X131" s="1010"/>
      <c r="Y131" s="1022"/>
      <c r="Z131" s="2208"/>
      <c r="AA131" s="1011"/>
      <c r="AB131" s="1022"/>
      <c r="AC131" s="2208"/>
      <c r="AD131" s="1010"/>
      <c r="AE131" s="1022"/>
      <c r="AF131" s="1022"/>
      <c r="AG131" s="1022"/>
      <c r="AH131" s="1214"/>
      <c r="AI131" s="435"/>
      <c r="AJ131" s="1857"/>
    </row>
    <row r="132" spans="1:59" ht="16.5" customHeight="1">
      <c r="A132" s="435" t="s">
        <v>1674</v>
      </c>
      <c r="B132" s="435"/>
      <c r="C132" s="1034">
        <f>+'Exh F'!D119+'Exh F'!D120+'Exh F'!D121+'Exh F'!D122+'Exhibit G state'!D111+'Exhibit H'!B59</f>
        <v>3161.6000000000004</v>
      </c>
      <c r="D132" s="1010"/>
      <c r="E132" s="1034">
        <f>+'Exh F'!F119+'Exh F'!F120+'Exh F'!F121+'Exh F'!F122+'Exhibit G state'!F111+'Exhibit H'!D59</f>
        <v>1533.9999999999998</v>
      </c>
      <c r="F132" s="1010"/>
      <c r="G132" s="1034">
        <f>+'Exh F'!H119+'Exh F'!H120+'Exh F'!H121+'Exh F'!H122+'Exhibit G state'!H111+'Exhibit H'!F59</f>
        <v>2889.4999999999995</v>
      </c>
      <c r="H132" s="1010"/>
      <c r="I132" s="1034">
        <f>+'Exh F'!J119+'Exh F'!J120+'Exh F'!J121+'Exh F'!J122+'Exhibit G state'!J111+'Exhibit H'!H59</f>
        <v>1729.7000000000003</v>
      </c>
      <c r="J132" s="1010"/>
      <c r="K132" s="1034">
        <f>+'Exh F'!L119+'Exh F'!L120+'Exh F'!L121+'Exh F'!L122+'Exhibit G state'!L111+'Exhibit H'!J59</f>
        <v>1901.1</v>
      </c>
      <c r="L132" s="1010"/>
      <c r="M132" s="1034">
        <f>+'Exh F'!N119+'Exh F'!N120+'Exh F'!N121+'Exh F'!N122+'Exhibit G state'!N111+'Exhibit H'!L59</f>
        <v>3204</v>
      </c>
      <c r="N132" s="1010"/>
      <c r="O132" s="1034">
        <f>+'Exh F'!P119+'Exh F'!P120+'Exh F'!P121+'Exh F'!P122+'Exhibit G state'!P111+'Exhibit H'!N59</f>
        <v>1847</v>
      </c>
      <c r="P132" s="1010"/>
      <c r="Q132" s="1010"/>
      <c r="R132" s="1010"/>
      <c r="S132" s="1010"/>
      <c r="T132" s="1010"/>
      <c r="U132" s="1022"/>
      <c r="V132" s="1010"/>
      <c r="X132" s="1010"/>
      <c r="Y132" s="1010"/>
      <c r="Z132" s="1010"/>
      <c r="AA132" s="1011"/>
      <c r="AB132" s="1010">
        <f>ROUND(SUM(C132:Y132),1)</f>
        <v>16266.9</v>
      </c>
      <c r="AC132" s="1010"/>
      <c r="AD132" s="1011"/>
      <c r="AE132" s="1010">
        <v>17225.5</v>
      </c>
      <c r="AF132" s="1022"/>
      <c r="AG132" s="1022"/>
      <c r="AH132" s="1010">
        <f>ROUND(SUM(AB132-AE132),1)</f>
        <v>-958.6</v>
      </c>
      <c r="AI132" s="435"/>
      <c r="AJ132" s="2201">
        <f>ROUND(SUM(AH132/AE132),3)</f>
        <v>-5.6000000000000001E-2</v>
      </c>
    </row>
    <row r="133" spans="1:59" ht="16.5" customHeight="1">
      <c r="A133" s="435" t="s">
        <v>1675</v>
      </c>
      <c r="C133" s="1155">
        <f>+'Exh F'!D123+'Exh F'!D124+'Exh F'!D125+'Exh F'!D126+'Exhibit G state'!D112+'Exhibit H'!B60</f>
        <v>-2996.7</v>
      </c>
      <c r="D133" s="252"/>
      <c r="E133" s="1155">
        <f>+'Exh F'!F123+'Exh F'!F124+'Exh F'!F125+'Exh F'!F126+'Exhibit G state'!F112+'Exhibit H'!D60</f>
        <v>-1346.1</v>
      </c>
      <c r="F133" s="252"/>
      <c r="G133" s="1155">
        <f>+'Exh F'!H123+'Exh F'!H124+'Exh F'!H125+'Exh F'!H126+'Exhibit G state'!H112+'Exhibit H'!F60</f>
        <v>-2842.6000000000004</v>
      </c>
      <c r="H133" s="252"/>
      <c r="I133" s="1155">
        <f>+'Exh F'!J123+'Exh F'!J124+'Exh F'!J125+'Exh F'!J126+'Exhibit G state'!J112+'Exhibit H'!H60</f>
        <v>-1267.3</v>
      </c>
      <c r="J133" s="252"/>
      <c r="K133" s="1155">
        <f>+'Exh F'!L123+'Exh F'!L124+'Exh F'!L125+'Exh F'!L126+'Exhibit G state'!L112+'Exhibit H'!J60</f>
        <v>-1628.8</v>
      </c>
      <c r="L133" s="252"/>
      <c r="M133" s="1155">
        <f>+'Exh F'!N123+'Exh F'!N124+'Exh F'!N125+'Exh F'!N126+'Exhibit G state'!N112+'Exhibit H'!L60</f>
        <v>-2968.7999999999997</v>
      </c>
      <c r="N133" s="252"/>
      <c r="O133" s="1155">
        <f>+'Exh F'!P123+'Exh F'!P124+'Exh F'!P125+'Exh F'!P126+'Exhibit G state'!P112+'Exhibit H'!N60</f>
        <v>-1692.9</v>
      </c>
      <c r="P133" s="252"/>
      <c r="Q133" s="1015"/>
      <c r="R133" s="252"/>
      <c r="S133" s="1015"/>
      <c r="T133" s="252"/>
      <c r="U133" s="1015"/>
      <c r="V133" s="252"/>
      <c r="W133" s="1371"/>
      <c r="X133" s="252"/>
      <c r="Y133" s="1015"/>
      <c r="Z133" s="252"/>
      <c r="AA133" s="1036"/>
      <c r="AB133" s="1015">
        <f>ROUND(SUM(C133:Y133),1)</f>
        <v>-14743.2</v>
      </c>
      <c r="AC133" s="252"/>
      <c r="AD133" s="1036"/>
      <c r="AE133" s="1015">
        <v>-15484.9</v>
      </c>
      <c r="AF133" s="1021"/>
      <c r="AG133" s="1021"/>
      <c r="AH133" s="1015">
        <f>-ROUND(SUM(-AB133+AE133),1)</f>
        <v>741.7</v>
      </c>
      <c r="AI133" s="1857"/>
      <c r="AJ133" s="2212">
        <f>ROUND(SUM(-AH133/AE133),3)</f>
        <v>4.8000000000000001E-2</v>
      </c>
    </row>
    <row r="134" spans="1:59" ht="16.5" customHeight="1">
      <c r="A134" s="435"/>
      <c r="C134" s="1022"/>
      <c r="D134" s="252"/>
      <c r="E134" s="1022"/>
      <c r="F134" s="252"/>
      <c r="G134" s="1022"/>
      <c r="H134" s="252"/>
      <c r="I134" s="1022"/>
      <c r="J134" s="252"/>
      <c r="K134" s="1022"/>
      <c r="L134" s="252"/>
      <c r="M134" s="1022"/>
      <c r="N134" s="252"/>
      <c r="O134" s="1022"/>
      <c r="P134" s="252"/>
      <c r="Q134" s="1022"/>
      <c r="R134" s="252"/>
      <c r="S134" s="1022"/>
      <c r="T134" s="252"/>
      <c r="U134" s="1022"/>
      <c r="V134" s="252"/>
      <c r="W134" s="1022"/>
      <c r="X134" s="252"/>
      <c r="Y134" s="1022"/>
      <c r="Z134" s="252"/>
      <c r="AA134" s="1036"/>
      <c r="AB134" s="1022"/>
      <c r="AC134" s="252"/>
      <c r="AD134" s="1036"/>
      <c r="AE134" s="1022"/>
      <c r="AF134" s="1021"/>
      <c r="AG134" s="423"/>
      <c r="AH134" s="1022"/>
      <c r="AI134" s="1857"/>
      <c r="AJ134" s="1311"/>
    </row>
    <row r="135" spans="1:59" ht="16.5" customHeight="1">
      <c r="A135" s="414" t="s">
        <v>52</v>
      </c>
      <c r="C135" s="2203">
        <f>ROUND(SUM(C132:C133),1)</f>
        <v>164.9</v>
      </c>
      <c r="D135" s="1037"/>
      <c r="E135" s="2203">
        <f>ROUND(SUM(E132:E133),1)</f>
        <v>187.9</v>
      </c>
      <c r="F135" s="1037"/>
      <c r="G135" s="2203">
        <f>ROUND(SUM(G132:G133),1)</f>
        <v>46.9</v>
      </c>
      <c r="H135" s="1037"/>
      <c r="I135" s="2203">
        <f>ROUND(SUM(I132:I133),1)</f>
        <v>462.4</v>
      </c>
      <c r="J135" s="1037"/>
      <c r="K135" s="2203">
        <f>ROUND(SUM(K132:K133),1)</f>
        <v>272.3</v>
      </c>
      <c r="L135" s="1037"/>
      <c r="M135" s="2203">
        <f>ROUND(SUM(M132:M133),1)</f>
        <v>235.2</v>
      </c>
      <c r="N135" s="1037"/>
      <c r="O135" s="2203">
        <f>ROUND(SUM(O132:O133),1)</f>
        <v>154.1</v>
      </c>
      <c r="P135" s="1037"/>
      <c r="Q135" s="2203">
        <f>ROUND(SUM(Q132:Q133),1)</f>
        <v>0</v>
      </c>
      <c r="R135" s="1037"/>
      <c r="S135" s="2203">
        <f>ROUND(SUM(S132:S133),1)</f>
        <v>0</v>
      </c>
      <c r="T135" s="1037"/>
      <c r="U135" s="2203">
        <f>ROUND(SUM(U132:U133),1)</f>
        <v>0</v>
      </c>
      <c r="V135" s="1037"/>
      <c r="W135" s="2203">
        <f>ROUND(SUM(W132:W133),1)</f>
        <v>0</v>
      </c>
      <c r="X135" s="1037"/>
      <c r="Y135" s="2203">
        <f>ROUND(SUM(Y132:Y133),1)</f>
        <v>0</v>
      </c>
      <c r="Z135" s="1037"/>
      <c r="AA135" s="1038"/>
      <c r="AB135" s="2203">
        <f>ROUND(SUM(AB132:AB133),1)</f>
        <v>1523.7</v>
      </c>
      <c r="AC135" s="1037"/>
      <c r="AD135" s="1038"/>
      <c r="AE135" s="2203">
        <f>ROUND(SUM(AE132:AE133),1)</f>
        <v>1740.6</v>
      </c>
      <c r="AF135" s="1323"/>
      <c r="AG135" s="2384"/>
      <c r="AH135" s="2203">
        <f>ROUND(SUM(AH132:AH133),1)</f>
        <v>-216.9</v>
      </c>
      <c r="AI135" s="414"/>
      <c r="AJ135" s="2213">
        <f>-ROUND(SUM(-AH135/AE135),3)</f>
        <v>-0.125</v>
      </c>
      <c r="AK135" s="810"/>
      <c r="AL135" s="810"/>
    </row>
    <row r="136" spans="1:59" ht="16.5" customHeight="1">
      <c r="A136" s="1857"/>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1036"/>
      <c r="AB136" s="252"/>
      <c r="AC136" s="252"/>
      <c r="AD136" s="1036"/>
      <c r="AE136" s="252"/>
      <c r="AF136" s="1021"/>
      <c r="AG136" s="423"/>
      <c r="AH136" s="1214"/>
      <c r="AI136" s="1857"/>
      <c r="AJ136" s="1857"/>
    </row>
    <row r="137" spans="1:59" ht="16.5" customHeight="1">
      <c r="A137" s="484" t="s">
        <v>45</v>
      </c>
      <c r="C137" s="1022"/>
      <c r="D137" s="252"/>
      <c r="E137" s="1022"/>
      <c r="F137" s="252"/>
      <c r="G137" s="1022"/>
      <c r="H137" s="252"/>
      <c r="I137" s="1022"/>
      <c r="J137" s="252"/>
      <c r="K137" s="1022"/>
      <c r="L137" s="252"/>
      <c r="M137" s="1022"/>
      <c r="N137" s="252"/>
      <c r="O137" s="1022"/>
      <c r="P137" s="252"/>
      <c r="Q137" s="1022"/>
      <c r="R137" s="252"/>
      <c r="S137" s="1022"/>
      <c r="T137" s="252"/>
      <c r="U137" s="1022"/>
      <c r="V137" s="252"/>
      <c r="W137" s="1022"/>
      <c r="X137" s="252"/>
      <c r="Y137" s="1022"/>
      <c r="Z137" s="252"/>
      <c r="AA137" s="1036"/>
      <c r="AB137" s="1022"/>
      <c r="AC137" s="252"/>
      <c r="AD137" s="1036"/>
      <c r="AE137" s="1022"/>
      <c r="AF137" s="1021"/>
      <c r="AG137" s="2384"/>
      <c r="AH137" s="1214"/>
      <c r="AI137" s="1857"/>
      <c r="AJ137" s="1857"/>
    </row>
    <row r="138" spans="1:59" ht="16.5" customHeight="1">
      <c r="A138" s="484" t="s">
        <v>53</v>
      </c>
      <c r="C138" s="1018"/>
      <c r="D138" s="1037"/>
      <c r="E138" s="1018"/>
      <c r="F138" s="1037"/>
      <c r="G138" s="1018"/>
      <c r="H138" s="1037"/>
      <c r="I138" s="1018"/>
      <c r="J138" s="1037"/>
      <c r="K138" s="1018"/>
      <c r="L138" s="1037"/>
      <c r="M138" s="1018"/>
      <c r="N138" s="1037"/>
      <c r="O138" s="1018"/>
      <c r="P138" s="1037"/>
      <c r="Q138" s="1018"/>
      <c r="R138" s="1037"/>
      <c r="S138" s="1018"/>
      <c r="T138" s="1037"/>
      <c r="U138" s="1018"/>
      <c r="V138" s="1037"/>
      <c r="W138" s="1018"/>
      <c r="X138" s="1037"/>
      <c r="Y138" s="1018"/>
      <c r="Z138" s="1037"/>
      <c r="AA138" s="1038"/>
      <c r="AB138" s="1018"/>
      <c r="AC138" s="1037"/>
      <c r="AD138" s="1038"/>
      <c r="AE138" s="1018"/>
      <c r="AF138" s="1021"/>
      <c r="AG138" s="423"/>
      <c r="AH138" s="2154"/>
      <c r="AI138" s="414"/>
      <c r="AJ138" s="414"/>
      <c r="AK138" s="810"/>
      <c r="AL138" s="810"/>
      <c r="AM138" s="810"/>
      <c r="AN138" s="810"/>
      <c r="AO138" s="810"/>
      <c r="AP138" s="810"/>
      <c r="AQ138" s="810"/>
      <c r="AR138" s="810"/>
      <c r="AS138" s="810"/>
      <c r="AT138" s="810"/>
      <c r="AU138" s="810"/>
      <c r="AV138" s="810"/>
      <c r="AW138" s="810"/>
      <c r="AX138" s="810"/>
      <c r="AY138" s="810"/>
      <c r="AZ138" s="810"/>
      <c r="BA138" s="810"/>
      <c r="BB138" s="810"/>
      <c r="BC138" s="810"/>
      <c r="BD138" s="810"/>
      <c r="BE138" s="810"/>
      <c r="BF138" s="810"/>
      <c r="BG138" s="810"/>
    </row>
    <row r="139" spans="1:59" ht="16.5" customHeight="1">
      <c r="A139" s="484" t="s">
        <v>54</v>
      </c>
      <c r="C139" s="1039">
        <f>ROUND(SUM(C129+C135),1)</f>
        <v>4246.7</v>
      </c>
      <c r="D139" s="1037"/>
      <c r="E139" s="1039">
        <f>ROUND(SUM(E129+E135),1)</f>
        <v>-941.5</v>
      </c>
      <c r="F139" s="1037"/>
      <c r="G139" s="1039">
        <f>ROUND(SUM(G129+G135),1)</f>
        <v>645.4</v>
      </c>
      <c r="H139" s="1037"/>
      <c r="I139" s="1039">
        <f>ROUND(SUM(I129+I135),1)</f>
        <v>2075.4</v>
      </c>
      <c r="J139" s="1037"/>
      <c r="K139" s="1039">
        <f>ROUND(SUM(K129+K135),1)</f>
        <v>306.2</v>
      </c>
      <c r="L139" s="1037"/>
      <c r="M139" s="1039">
        <f>ROUND(SUM(M129+M135),1)</f>
        <v>-594.9</v>
      </c>
      <c r="N139" s="1037"/>
      <c r="O139" s="1039">
        <f>ROUND(SUM(O129+O135),1)</f>
        <v>-19.399999999999999</v>
      </c>
      <c r="P139" s="1037"/>
      <c r="Q139" s="1039">
        <f>ROUND(SUM(Q129+Q135),1)</f>
        <v>0</v>
      </c>
      <c r="R139" s="1037"/>
      <c r="S139" s="1039">
        <f>ROUND(SUM(S129+S135),1)</f>
        <v>0</v>
      </c>
      <c r="T139" s="1037"/>
      <c r="U139" s="1039">
        <f>ROUND(SUM(U129+U135),1)</f>
        <v>0</v>
      </c>
      <c r="V139" s="1037"/>
      <c r="W139" s="1039">
        <f>ROUND(SUM(W129+W135),1)</f>
        <v>0</v>
      </c>
      <c r="X139" s="1037"/>
      <c r="Y139" s="1039">
        <f>ROUND(SUM(Y129+Y135),1)</f>
        <v>0</v>
      </c>
      <c r="Z139" s="1037"/>
      <c r="AA139" s="1038"/>
      <c r="AB139" s="1039">
        <f>ROUND(SUM(AB129+AB135),1)</f>
        <v>5717.9</v>
      </c>
      <c r="AC139" s="1037"/>
      <c r="AD139" s="1038"/>
      <c r="AE139" s="1039">
        <f>ROUND(SUM(AE129+AE135),1)</f>
        <v>4397</v>
      </c>
      <c r="AF139" s="1021"/>
      <c r="AG139" s="1044"/>
      <c r="AH139" s="2211">
        <f>ROUND(SUM(AB139-AE139),1)</f>
        <v>1320.9</v>
      </c>
      <c r="AI139" s="414"/>
      <c r="AJ139" s="2204">
        <f>ROUND(SUM(-AH139/AE139*-1),3)</f>
        <v>0.3</v>
      </c>
      <c r="AK139" s="810"/>
      <c r="AL139" s="810"/>
      <c r="AM139" s="810"/>
      <c r="AN139" s="810"/>
      <c r="AO139" s="810"/>
      <c r="AP139" s="810"/>
      <c r="AQ139" s="810"/>
      <c r="AR139" s="810"/>
      <c r="AS139" s="810"/>
      <c r="AT139" s="810"/>
      <c r="AU139" s="810"/>
      <c r="AV139" s="810"/>
      <c r="AW139" s="810"/>
      <c r="AX139" s="810"/>
      <c r="AY139" s="810"/>
      <c r="AZ139" s="810"/>
      <c r="BA139" s="810"/>
      <c r="BB139" s="810"/>
      <c r="BC139" s="810"/>
      <c r="BD139" s="810"/>
      <c r="BE139" s="810"/>
      <c r="BF139" s="810"/>
      <c r="BG139" s="810"/>
    </row>
    <row r="140" spans="1:59" ht="15.75">
      <c r="A140" s="414"/>
      <c r="C140" s="1003"/>
      <c r="E140" s="1003"/>
      <c r="G140" s="1003"/>
      <c r="I140" s="1003"/>
      <c r="K140" s="1003"/>
      <c r="M140" s="1003"/>
      <c r="O140" s="1003"/>
      <c r="Q140" s="1003"/>
      <c r="S140" s="1003"/>
      <c r="U140" s="1003"/>
      <c r="W140" s="1003"/>
      <c r="Y140" s="1003"/>
      <c r="AA140" s="1040"/>
      <c r="AB140" s="1003"/>
      <c r="AD140" s="1040"/>
      <c r="AE140" s="1003"/>
      <c r="AF140" s="1021"/>
      <c r="AG140" s="1044"/>
      <c r="AH140" s="1857"/>
      <c r="AI140" s="1857"/>
      <c r="AJ140" s="1857"/>
    </row>
    <row r="141" spans="1:59" thickBot="1">
      <c r="A141" s="1041" t="s">
        <v>148</v>
      </c>
      <c r="C141" s="1042">
        <f>ROUND(SUM(C16+C139),1)</f>
        <v>9035.7999999999993</v>
      </c>
      <c r="D141" s="477"/>
      <c r="E141" s="1042">
        <f>ROUND(SUM(E16+E139),1)</f>
        <v>8094.3</v>
      </c>
      <c r="F141" s="477"/>
      <c r="G141" s="1042">
        <f>ROUND(SUM(G16+G139),1)</f>
        <v>8739.7000000000007</v>
      </c>
      <c r="H141" s="477"/>
      <c r="I141" s="1042">
        <f>ROUND(SUM(I16+I139),1)</f>
        <v>10815.1</v>
      </c>
      <c r="J141" s="1043"/>
      <c r="K141" s="1042">
        <f>ROUND(SUM(K16+K139),1)</f>
        <v>11121.3</v>
      </c>
      <c r="L141" s="1043"/>
      <c r="M141" s="1042">
        <f>ROUND(SUM(M16+M139),1)</f>
        <v>10526.4</v>
      </c>
      <c r="N141" s="1043"/>
      <c r="O141" s="1042">
        <f>ROUND(SUM(O16+O139),1)</f>
        <v>10507</v>
      </c>
      <c r="P141" s="1043"/>
      <c r="Q141" s="1042">
        <f>ROUND(SUM(Q16+Q139),1)</f>
        <v>0</v>
      </c>
      <c r="R141" s="1043"/>
      <c r="S141" s="1042">
        <f>ROUND(SUM(S16+S139),1)</f>
        <v>0</v>
      </c>
      <c r="T141" s="1043"/>
      <c r="U141" s="1042">
        <f>ROUND(SUM(U16+U139),1)</f>
        <v>0</v>
      </c>
      <c r="V141" s="1043"/>
      <c r="W141" s="1042">
        <f>ROUND(SUM(W16+W139),1)</f>
        <v>0</v>
      </c>
      <c r="X141" s="1043"/>
      <c r="Y141" s="1042">
        <f>ROUND(SUM(Y16+Y139),1)</f>
        <v>0</v>
      </c>
      <c r="Z141" s="477"/>
      <c r="AA141" s="1044"/>
      <c r="AB141" s="1042">
        <f>ROUND(SUM(AB16+AB139),1)</f>
        <v>10507</v>
      </c>
      <c r="AC141" s="477"/>
      <c r="AD141" s="1044"/>
      <c r="AE141" s="1042">
        <f>ROUND(SUM(AE16+AE139),1)</f>
        <v>8756.5</v>
      </c>
      <c r="AF141" s="1021"/>
      <c r="AG141" s="1040"/>
      <c r="AH141" s="1042">
        <f>ROUND(SUM(AB141-AE141),1)</f>
        <v>1750.5</v>
      </c>
      <c r="AI141" s="414"/>
      <c r="AJ141" s="536">
        <f>ROUND(SUM(AH141/AE141),3)</f>
        <v>0.2</v>
      </c>
      <c r="AK141" s="810"/>
    </row>
    <row r="142" spans="1:59" thickTop="1">
      <c r="A142" s="1045"/>
      <c r="C142" s="423"/>
      <c r="AH142" s="1857"/>
      <c r="AI142" s="1857"/>
      <c r="AJ142" s="1857"/>
    </row>
    <row r="143" spans="1:59" ht="15">
      <c r="A143" s="1149" t="s">
        <v>1609</v>
      </c>
      <c r="AH143" s="1857"/>
      <c r="AI143" s="1857"/>
      <c r="AJ143" s="1857"/>
    </row>
    <row r="144" spans="1:59" ht="15">
      <c r="A144" s="1149" t="s">
        <v>1551</v>
      </c>
      <c r="AH144" s="1857"/>
      <c r="AI144" s="1857"/>
      <c r="AJ144" s="1857"/>
    </row>
    <row r="145" spans="1:36" ht="15">
      <c r="A145" s="2658" t="s">
        <v>1623</v>
      </c>
      <c r="AH145" s="1857"/>
      <c r="AI145" s="1857"/>
      <c r="AJ145" s="1857"/>
    </row>
    <row r="146" spans="1:36" ht="16.5" customHeight="1">
      <c r="AH146" s="1857"/>
      <c r="AI146" s="1857"/>
      <c r="AJ146" s="1857"/>
    </row>
    <row r="147" spans="1:36" ht="16.5" customHeight="1">
      <c r="AH147" s="1857"/>
      <c r="AI147" s="1857"/>
      <c r="AJ147" s="1857"/>
    </row>
    <row r="148" spans="1:36" ht="16.5" customHeight="1">
      <c r="AH148" s="1857"/>
      <c r="AI148" s="1857"/>
      <c r="AJ148" s="1857"/>
    </row>
    <row r="149" spans="1:36" ht="16.5" customHeight="1">
      <c r="AH149" s="1857"/>
      <c r="AI149" s="1857"/>
      <c r="AJ149" s="1857"/>
    </row>
    <row r="150" spans="1:36" ht="16.5" customHeight="1">
      <c r="AH150" s="1857"/>
      <c r="AI150" s="1857"/>
      <c r="AJ150" s="1857"/>
    </row>
    <row r="151" spans="1:36" ht="16.5" customHeight="1">
      <c r="AH151" s="1857"/>
      <c r="AI151" s="1857"/>
      <c r="AJ151" s="1857"/>
    </row>
    <row r="152" spans="1:36" ht="16.5" customHeight="1">
      <c r="AH152" s="1857"/>
      <c r="AI152" s="1857"/>
      <c r="AJ152" s="1857"/>
    </row>
    <row r="153" spans="1:36" ht="16.5" customHeight="1">
      <c r="AH153" s="1857"/>
      <c r="AI153" s="1857"/>
      <c r="AJ153" s="1857"/>
    </row>
    <row r="154" spans="1:36" ht="16.5" customHeight="1">
      <c r="AH154" s="1857"/>
      <c r="AI154" s="1857"/>
      <c r="AJ154" s="1857"/>
    </row>
    <row r="155" spans="1:36" ht="16.5" customHeight="1">
      <c r="AH155" s="1857"/>
      <c r="AI155" s="1857"/>
      <c r="AJ155" s="1857"/>
    </row>
    <row r="156" spans="1:36" ht="16.5" customHeight="1">
      <c r="AH156" s="1857"/>
      <c r="AI156" s="1857"/>
      <c r="AJ156" s="1857"/>
    </row>
    <row r="157" spans="1:36" ht="16.5" customHeight="1">
      <c r="AH157" s="1857"/>
      <c r="AI157" s="1857"/>
      <c r="AJ157" s="1857"/>
    </row>
    <row r="158" spans="1:36" ht="16.5" customHeight="1">
      <c r="AH158" s="1857"/>
      <c r="AI158" s="1857"/>
      <c r="AJ158" s="1857"/>
    </row>
    <row r="159" spans="1:36" ht="16.5" customHeight="1">
      <c r="AH159" s="1857"/>
      <c r="AI159" s="1857"/>
      <c r="AJ159" s="1857"/>
    </row>
  </sheetData>
  <customSheetViews>
    <customSheetView guid="{BD09DBC2-63A5-4D9C-9B00-4281066E9389}" scale="64" showPageBreaks="1" showGridLines="0" printArea="1" topLeftCell="A75">
      <selection activeCell="Q100" sqref="Q100"/>
      <rowBreaks count="1" manualBreakCount="1">
        <brk id="99" max="35" man="1"/>
      </rowBreaks>
      <pageMargins left="0" right="0" top="0.25" bottom="0.25" header="0.47" footer="0.3"/>
      <pageSetup scale="39" firstPageNumber="18" orientation="landscape" useFirstPageNumber="1" r:id="rId1"/>
      <headerFooter>
        <oddFooter>&amp;C&amp;P</oddFooter>
      </headerFooter>
    </customSheetView>
    <customSheetView guid="{C82E0A7D-2B5B-48FC-A705-3168E651E04C}" scale="60" showPageBreaks="1" showGridLines="0" printArea="1">
      <selection activeCell="Y12" sqref="Y12"/>
      <rowBreaks count="1" manualBreakCount="1">
        <brk id="84" max="35" man="1"/>
      </rowBreaks>
      <pageMargins left="0" right="0" top="0.4" bottom="0.25" header="0.47" footer="0.3"/>
      <pageSetup scale="41" firstPageNumber="18" fitToHeight="2" orientation="landscape" useFirstPageNumber="1" r:id="rId2"/>
      <headerFooter scaleWithDoc="0">
        <oddFooter>&amp;C&amp;8 &amp;P</oddFooter>
      </headerFooter>
    </customSheetView>
    <customSheetView guid="{A8B05C3B-0E7E-44A3-A097-AF4C5C09F04E}" scale="60" showPageBreaks="1" showGridLines="0" printArea="1" topLeftCell="A76">
      <selection activeCell="AE65" sqref="AE65"/>
      <rowBreaks count="1" manualBreakCount="1">
        <brk id="84" max="35" man="1"/>
      </rowBreaks>
      <pageMargins left="0" right="0" top="0.4" bottom="0.25" header="0.47" footer="0.3"/>
      <pageSetup scale="42" firstPageNumber="18" fitToHeight="2" orientation="landscape" useFirstPageNumber="1" r:id="rId3"/>
      <headerFooter scaleWithDoc="0">
        <oddFooter>&amp;C&amp;8 &amp;P</oddFooter>
      </headerFooter>
    </customSheetView>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4"/>
      <headerFooter scaleWithDoc="0">
        <oddFooter>&amp;C&amp;8 &amp;P</oddFooter>
      </headerFooter>
    </customSheetView>
    <customSheetView guid="{4735AAE3-27B4-4549-AAB4-50ACA997F5F5}" scale="60" showPageBreaks="1" showGridLines="0" printArea="1" topLeftCell="A3">
      <selection activeCell="O56" sqref="O56"/>
      <rowBreaks count="1" manualBreakCount="1">
        <brk id="84" max="35" man="1"/>
      </rowBreaks>
      <pageMargins left="0" right="0" top="0.4" bottom="0.25" header="0.47" footer="0.3"/>
      <pageSetup scale="41" firstPageNumber="18" fitToHeight="2" orientation="landscape" useFirstPageNumber="1" r:id="rId5"/>
      <headerFooter scaleWithDoc="0">
        <oddFooter>&amp;C&amp;8 &amp;P</oddFooter>
      </headerFooter>
    </customSheetView>
    <customSheetView guid="{80622567-647A-4891-B8EE-6B9E2C4DAC44}" showPageBreaks="1" showGridLines="0" printArea="1" topLeftCell="J121">
      <selection activeCell="O141" sqref="O141"/>
      <rowBreaks count="1" manualBreakCount="1">
        <brk id="84" max="35" man="1"/>
      </rowBreaks>
      <pageMargins left="0.25" right="0" top="0.25" bottom="0.25" header="0.47" footer="0.3"/>
      <pageSetup scale="42" firstPageNumber="18" fitToHeight="2" orientation="landscape" useFirstPageNumber="1" r:id="rId6"/>
      <headerFooter scaleWithDoc="0">
        <oddFooter>&amp;C&amp;8 &amp;P</oddFooter>
      </headerFooter>
    </customSheetView>
    <customSheetView guid="{A97EE6C3-4DA8-41BD-BE43-F596EFCB43CA}" showPageBreaks="1" showGridLines="0" printArea="1" topLeftCell="A121">
      <selection activeCell="Y12" sqref="Y12"/>
      <rowBreaks count="1" manualBreakCount="1">
        <brk id="84" max="35" man="1"/>
      </rowBreaks>
      <pageMargins left="0" right="0" top="0.4" bottom="0.25" header="0.47" footer="0.3"/>
      <pageSetup scale="42" firstPageNumber="18" fitToHeight="2" orientation="landscape" useFirstPageNumber="1" r:id="rId7"/>
      <headerFooter scaleWithDoc="0">
        <oddFooter>&amp;C&amp;8 &amp;P</oddFooter>
      </headerFooter>
    </customSheetView>
    <customSheetView guid="{90B76C5A-2FC4-40F0-8436-3E4F075A4887}" scale="70" showPageBreaks="1" showGridLines="0" printArea="1" topLeftCell="F4">
      <selection activeCell="O141" sqref="O141"/>
      <rowBreaks count="1" manualBreakCount="1">
        <brk id="84" max="35" man="1"/>
      </rowBreaks>
      <pageMargins left="0.25" right="0" top="0.25" bottom="0.25" header="0.47" footer="0.3"/>
      <pageSetup scale="40" firstPageNumber="18" fitToHeight="2" orientation="landscape" useFirstPageNumber="1" r:id="rId8"/>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9"/>
  <headerFooter scaleWithDoc="0" alignWithMargins="0">
    <oddFooter>&amp;C&amp;8&amp;P</oddFooter>
  </headerFooter>
  <rowBreaks count="1" manualBreakCount="1">
    <brk id="84" max="35" man="1"/>
  </rowBreaks>
  <ignoredErrors>
    <ignoredError sqref="AB12 AJ27:AJ28" unlockedFormula="1"/>
    <ignoredError sqref="AB26 AH24 AJ24" formula="1"/>
    <ignoredError sqref="AJ63:AJ75 AJ90:AJ92 AJ37 AJ80:AJ81 AJ94:AJ97" formula="1" unlockedFormula="1"/>
    <ignoredError sqref="U13 C13" numberStoredAsText="1"/>
  </ignoredErrors>
  <drawing r:id="rId10"/>
</worksheet>
</file>

<file path=xl/worksheets/sheet18.xml><?xml version="1.0" encoding="utf-8"?>
<worksheet xmlns="http://schemas.openxmlformats.org/spreadsheetml/2006/main" xmlns:r="http://schemas.openxmlformats.org/officeDocument/2006/relationships">
  <sheetPr codeName="Sheet16"/>
  <dimension ref="A1:AL209"/>
  <sheetViews>
    <sheetView showGridLines="0" zoomScale="70" zoomScaleNormal="70" workbookViewId="0"/>
  </sheetViews>
  <sheetFormatPr defaultColWidth="8.88671875" defaultRowHeight="12.75"/>
  <cols>
    <col min="1" max="1" width="5.109375" style="415" customWidth="1"/>
    <col min="2" max="2" width="48.5546875" style="415" customWidth="1"/>
    <col min="3" max="3" width="1.109375" style="415" customWidth="1"/>
    <col min="4" max="4" width="12.44140625" style="415" bestFit="1" customWidth="1"/>
    <col min="5" max="5" width="1.6640625" style="415" customWidth="1"/>
    <col min="6" max="6" width="12" style="415" customWidth="1"/>
    <col min="7" max="7" width="1.6640625" style="415" customWidth="1"/>
    <col min="8" max="8" width="12.33203125" style="415" customWidth="1"/>
    <col min="9" max="9" width="1.6640625" style="415" customWidth="1"/>
    <col min="10" max="10" width="13.77734375" style="2414" customWidth="1"/>
    <col min="11" max="11" width="1.6640625" style="415" customWidth="1"/>
    <col min="12" max="12" width="12.33203125" style="415" bestFit="1" customWidth="1"/>
    <col min="13" max="13" width="1.6640625" style="415" customWidth="1"/>
    <col min="14" max="14" width="13.88671875" style="415" customWidth="1"/>
    <col min="15" max="15" width="1.6640625" style="415" customWidth="1"/>
    <col min="16" max="16" width="11.5546875" style="415" customWidth="1"/>
    <col min="17" max="17" width="1.6640625" style="415" customWidth="1"/>
    <col min="18" max="18" width="11.44140625" style="415" customWidth="1"/>
    <col min="19" max="19" width="1.6640625" style="415" customWidth="1"/>
    <col min="20" max="20" width="10.6640625" style="415" customWidth="1"/>
    <col min="21" max="21" width="1.6640625" style="415" customWidth="1"/>
    <col min="22" max="22" width="9.5546875" style="415" customWidth="1"/>
    <col min="23" max="23" width="1.6640625" style="415" customWidth="1"/>
    <col min="24" max="24" width="10.6640625" style="415" customWidth="1"/>
    <col min="25" max="25" width="1.6640625" style="415" customWidth="1"/>
    <col min="26" max="26" width="10.6640625" style="415" customWidth="1"/>
    <col min="27" max="27" width="1.5546875" style="415" customWidth="1"/>
    <col min="28" max="28" width="1.6640625" style="415" customWidth="1"/>
    <col min="29" max="29" width="12.33203125" style="415" bestFit="1" customWidth="1"/>
    <col min="30" max="30" width="1.44140625" style="415" customWidth="1"/>
    <col min="31" max="31" width="1.33203125" style="415" customWidth="1"/>
    <col min="32" max="32" width="12.33203125" style="2420" bestFit="1" customWidth="1"/>
    <col min="33" max="33" width="1" style="415" customWidth="1"/>
    <col min="34" max="34" width="1.109375" style="415" customWidth="1"/>
    <col min="35" max="35" width="13.109375" style="415" bestFit="1" customWidth="1"/>
    <col min="36" max="36" width="1" style="421" customWidth="1"/>
    <col min="37" max="37" width="13.6640625" style="464" bestFit="1" customWidth="1"/>
    <col min="38" max="38" width="10.33203125" style="415" customWidth="1"/>
    <col min="39" max="16384" width="8.88671875" style="415"/>
  </cols>
  <sheetData>
    <row r="1" spans="1:37" ht="15">
      <c r="B1" s="1227" t="s">
        <v>1322</v>
      </c>
    </row>
    <row r="2" spans="1:37">
      <c r="A2" s="461"/>
      <c r="B2" s="462"/>
      <c r="C2" s="462"/>
      <c r="D2" s="462"/>
      <c r="E2" s="462"/>
      <c r="F2" s="462"/>
      <c r="G2" s="462"/>
      <c r="H2" s="462"/>
      <c r="I2" s="462"/>
      <c r="J2" s="2415"/>
      <c r="K2" s="462"/>
      <c r="L2" s="462"/>
      <c r="M2" s="462"/>
      <c r="N2" s="462"/>
      <c r="O2" s="462"/>
      <c r="P2" s="462"/>
      <c r="Q2" s="462"/>
      <c r="R2" s="462"/>
      <c r="S2" s="462"/>
      <c r="T2" s="462"/>
      <c r="U2" s="462"/>
      <c r="V2" s="462"/>
      <c r="W2" s="462"/>
      <c r="X2" s="462"/>
      <c r="Y2" s="462"/>
      <c r="Z2" s="462"/>
      <c r="AA2" s="462"/>
      <c r="AB2" s="462"/>
      <c r="AC2" s="462"/>
      <c r="AD2" s="462"/>
      <c r="AE2" s="462"/>
      <c r="AF2" s="1974"/>
      <c r="AG2" s="462"/>
      <c r="AH2" s="463"/>
    </row>
    <row r="3" spans="1:37">
      <c r="A3" s="461"/>
      <c r="B3" s="462"/>
      <c r="C3" s="462"/>
      <c r="D3" s="462"/>
      <c r="E3" s="462"/>
      <c r="F3" s="462"/>
      <c r="G3" s="462"/>
      <c r="H3" s="462"/>
      <c r="I3" s="462"/>
      <c r="J3" s="2415"/>
      <c r="K3" s="462"/>
      <c r="L3" s="462"/>
      <c r="M3" s="462"/>
      <c r="N3" s="462"/>
      <c r="O3" s="462"/>
      <c r="P3" s="462"/>
      <c r="Q3" s="462"/>
      <c r="R3" s="462"/>
      <c r="S3" s="462"/>
      <c r="T3" s="462"/>
      <c r="U3" s="462"/>
      <c r="V3" s="462"/>
      <c r="W3" s="462"/>
      <c r="X3" s="462"/>
      <c r="Y3" s="462"/>
      <c r="Z3" s="462"/>
      <c r="AA3" s="462"/>
      <c r="AB3" s="462"/>
      <c r="AC3" s="462"/>
      <c r="AD3" s="462"/>
      <c r="AE3" s="462"/>
      <c r="AF3" s="1974"/>
      <c r="AG3" s="462"/>
      <c r="AH3" s="463"/>
    </row>
    <row r="4" spans="1:37">
      <c r="A4" s="461"/>
      <c r="B4" s="462"/>
      <c r="C4" s="462"/>
      <c r="D4" s="462"/>
      <c r="E4" s="462"/>
      <c r="F4" s="462"/>
      <c r="G4" s="462"/>
      <c r="H4" s="462"/>
      <c r="I4" s="462"/>
      <c r="J4" s="2415"/>
      <c r="K4" s="462"/>
      <c r="L4" s="462"/>
      <c r="M4" s="462"/>
      <c r="N4" s="462"/>
      <c r="O4" s="462"/>
      <c r="P4" s="462"/>
      <c r="Q4" s="462"/>
      <c r="R4" s="462"/>
      <c r="S4" s="462"/>
      <c r="T4" s="462"/>
      <c r="U4" s="462"/>
      <c r="V4" s="462"/>
      <c r="W4" s="462"/>
      <c r="X4" s="462"/>
      <c r="Y4" s="462"/>
      <c r="Z4" s="462"/>
      <c r="AA4" s="462"/>
      <c r="AB4" s="462"/>
      <c r="AC4" s="462"/>
      <c r="AD4" s="462"/>
      <c r="AE4" s="462"/>
      <c r="AF4" s="1974"/>
      <c r="AG4" s="462"/>
      <c r="AH4" s="463"/>
    </row>
    <row r="5" spans="1:37" ht="18">
      <c r="A5" s="461"/>
      <c r="B5" s="465" t="s">
        <v>0</v>
      </c>
      <c r="C5" s="462"/>
      <c r="D5" s="462"/>
      <c r="E5" s="462"/>
      <c r="F5" s="362"/>
      <c r="G5" s="462"/>
      <c r="H5" s="462"/>
      <c r="I5" s="462"/>
      <c r="J5" s="2415"/>
      <c r="K5" s="462"/>
      <c r="L5" s="462"/>
      <c r="M5" s="225"/>
      <c r="N5" s="417"/>
      <c r="O5" s="462"/>
      <c r="P5" s="462"/>
      <c r="Q5" s="462"/>
      <c r="R5" s="462"/>
      <c r="S5" s="462"/>
      <c r="T5" s="462"/>
      <c r="U5" s="462"/>
      <c r="V5" s="462"/>
      <c r="W5" s="462"/>
      <c r="X5" s="462"/>
      <c r="Y5" s="462"/>
      <c r="Z5" s="462"/>
      <c r="AA5" s="462"/>
      <c r="AB5" s="462"/>
      <c r="AC5" s="462"/>
      <c r="AD5" s="462"/>
      <c r="AE5" s="462"/>
      <c r="AF5" s="1974"/>
      <c r="AG5" s="462"/>
      <c r="AH5" s="463"/>
      <c r="AK5" s="469" t="s">
        <v>154</v>
      </c>
    </row>
    <row r="6" spans="1:37" ht="18">
      <c r="A6" s="461"/>
      <c r="B6" s="466" t="s">
        <v>153</v>
      </c>
      <c r="C6" s="462"/>
      <c r="D6" s="462"/>
      <c r="E6" s="462"/>
      <c r="F6" s="362"/>
      <c r="G6" s="462"/>
      <c r="H6" s="462"/>
      <c r="I6" s="462"/>
      <c r="J6" s="2415"/>
      <c r="K6" s="462"/>
      <c r="L6" s="462"/>
      <c r="M6" s="225"/>
      <c r="N6" s="417"/>
      <c r="O6" s="462"/>
      <c r="P6" s="462"/>
      <c r="Q6" s="462"/>
      <c r="R6" s="462"/>
      <c r="S6" s="462"/>
      <c r="T6" s="462"/>
      <c r="U6" s="462"/>
      <c r="V6" s="462"/>
      <c r="W6" s="462"/>
      <c r="X6" s="462"/>
      <c r="Y6" s="462"/>
      <c r="Z6" s="462"/>
      <c r="AA6" s="462"/>
      <c r="AB6" s="462"/>
      <c r="AC6" s="467"/>
      <c r="AD6" s="467"/>
      <c r="AE6" s="467"/>
      <c r="AF6" s="2421"/>
      <c r="AG6" s="468"/>
      <c r="AH6" s="463"/>
    </row>
    <row r="7" spans="1:37" ht="18">
      <c r="A7" s="461"/>
      <c r="B7" s="466" t="s">
        <v>155</v>
      </c>
      <c r="C7" s="462"/>
      <c r="D7" s="462"/>
      <c r="E7" s="462"/>
      <c r="F7" s="362"/>
      <c r="G7" s="462"/>
      <c r="H7" s="462"/>
      <c r="I7" s="462"/>
      <c r="J7" s="2415"/>
      <c r="K7" s="462"/>
      <c r="L7" s="462"/>
      <c r="M7" s="225"/>
      <c r="N7" s="417"/>
      <c r="O7" s="462"/>
      <c r="P7" s="462"/>
      <c r="Q7" s="462"/>
      <c r="R7" s="462"/>
      <c r="S7" s="462"/>
      <c r="T7" s="462"/>
      <c r="U7" s="462"/>
      <c r="V7" s="462"/>
      <c r="W7" s="462"/>
      <c r="X7" s="462"/>
      <c r="Y7" s="462"/>
      <c r="Z7" s="462"/>
      <c r="AA7" s="462"/>
      <c r="AB7" s="462"/>
      <c r="AD7" s="470"/>
      <c r="AE7" s="470"/>
      <c r="AH7" s="463"/>
    </row>
    <row r="8" spans="1:37" ht="18" customHeight="1">
      <c r="A8" s="461"/>
      <c r="B8" s="471" t="s">
        <v>1175</v>
      </c>
      <c r="C8" s="462"/>
      <c r="D8" s="462"/>
      <c r="E8" s="462"/>
      <c r="F8" s="362"/>
      <c r="G8" s="462"/>
      <c r="H8" s="462"/>
      <c r="I8" s="462"/>
      <c r="J8" s="2415"/>
      <c r="K8" s="462"/>
      <c r="L8" s="462"/>
      <c r="M8" s="225"/>
      <c r="N8" s="417"/>
      <c r="O8" s="462"/>
      <c r="P8" s="462"/>
      <c r="Q8" s="462"/>
      <c r="R8" s="462"/>
      <c r="S8" s="462"/>
      <c r="T8" s="462"/>
      <c r="U8" s="462"/>
      <c r="V8" s="462"/>
      <c r="W8" s="462"/>
      <c r="X8" s="462"/>
      <c r="Y8" s="462"/>
      <c r="Z8" s="462"/>
      <c r="AA8" s="462"/>
      <c r="AB8" s="462"/>
      <c r="AC8" s="462"/>
      <c r="AD8" s="462"/>
      <c r="AE8" s="462"/>
      <c r="AF8" s="1974"/>
      <c r="AG8" s="462"/>
      <c r="AH8" s="463"/>
    </row>
    <row r="9" spans="1:37" ht="15" customHeight="1">
      <c r="A9" s="461"/>
      <c r="B9" s="466" t="s">
        <v>1198</v>
      </c>
      <c r="C9" s="462"/>
      <c r="D9" s="462"/>
      <c r="E9" s="462"/>
      <c r="F9" s="362"/>
      <c r="G9" s="462"/>
      <c r="H9" s="462"/>
      <c r="I9" s="462"/>
      <c r="J9" s="2415"/>
      <c r="K9" s="462"/>
      <c r="L9" s="417"/>
      <c r="M9" s="225"/>
      <c r="N9" s="462"/>
      <c r="O9" s="462"/>
      <c r="P9" s="462"/>
      <c r="Q9" s="462"/>
      <c r="R9" s="462"/>
      <c r="S9" s="462"/>
      <c r="T9" s="462"/>
      <c r="U9" s="462"/>
      <c r="V9" s="462"/>
      <c r="W9" s="462"/>
      <c r="X9" s="462"/>
      <c r="Y9" s="462"/>
      <c r="Z9" s="462"/>
      <c r="AA9" s="462"/>
      <c r="AB9" s="462"/>
      <c r="AC9" s="462"/>
      <c r="AD9" s="462"/>
      <c r="AE9" s="462"/>
      <c r="AF9" s="1974"/>
      <c r="AG9" s="462"/>
      <c r="AH9" s="463"/>
    </row>
    <row r="10" spans="1:37" ht="15.75">
      <c r="A10" s="461"/>
      <c r="B10" s="462"/>
      <c r="C10" s="462"/>
      <c r="D10" s="462"/>
      <c r="E10" s="462"/>
      <c r="F10" s="362"/>
      <c r="G10" s="462"/>
      <c r="H10" s="462"/>
      <c r="I10" s="462"/>
      <c r="J10" s="2415"/>
      <c r="K10" s="462"/>
      <c r="L10" s="462"/>
      <c r="M10" s="462"/>
      <c r="N10" s="462"/>
      <c r="O10" s="462"/>
      <c r="P10" s="462"/>
      <c r="Q10" s="462"/>
      <c r="R10" s="462"/>
      <c r="S10" s="462"/>
      <c r="T10" s="462"/>
      <c r="U10" s="462"/>
      <c r="V10" s="462"/>
      <c r="W10" s="462"/>
      <c r="X10" s="462"/>
      <c r="Y10" s="462"/>
      <c r="Z10" s="462"/>
      <c r="AA10" s="462"/>
      <c r="AB10" s="3361" t="s">
        <v>1630</v>
      </c>
      <c r="AC10" s="3361"/>
      <c r="AD10" s="3361"/>
      <c r="AE10" s="3361"/>
      <c r="AF10" s="3361"/>
      <c r="AG10" s="3361"/>
      <c r="AH10" s="3361"/>
      <c r="AI10" s="3361"/>
      <c r="AJ10" s="3361"/>
      <c r="AK10" s="3361"/>
    </row>
    <row r="11" spans="1:37" ht="15" customHeight="1">
      <c r="A11" s="461"/>
      <c r="B11" s="226"/>
      <c r="C11" s="226"/>
      <c r="D11" s="1627">
        <v>2014</v>
      </c>
      <c r="E11" s="225"/>
      <c r="F11" s="1628"/>
      <c r="G11" s="225"/>
      <c r="H11" s="417"/>
      <c r="I11" s="225"/>
      <c r="J11" s="317"/>
      <c r="K11" s="225"/>
      <c r="L11" s="417"/>
      <c r="M11" s="225"/>
      <c r="N11" s="417"/>
      <c r="O11" s="225"/>
      <c r="P11" s="417"/>
      <c r="Q11" s="225"/>
      <c r="R11" s="417"/>
      <c r="S11" s="225"/>
      <c r="T11" s="417"/>
      <c r="U11" s="225"/>
      <c r="V11" s="1629" t="s">
        <v>1169</v>
      </c>
      <c r="W11" s="225"/>
      <c r="X11" s="417"/>
      <c r="Y11" s="225"/>
      <c r="Z11" s="417"/>
      <c r="AA11" s="417"/>
      <c r="AB11" s="225"/>
      <c r="AC11" s="418"/>
      <c r="AD11" s="483"/>
      <c r="AE11" s="483"/>
      <c r="AF11" s="2403"/>
      <c r="AG11" s="418"/>
      <c r="AH11" s="1630"/>
      <c r="AI11" s="1631" t="s">
        <v>8</v>
      </c>
      <c r="AJ11" s="418"/>
      <c r="AK11" s="1632" t="s">
        <v>9</v>
      </c>
    </row>
    <row r="12" spans="1:37" ht="15" customHeight="1">
      <c r="A12" s="461"/>
      <c r="B12" s="226"/>
      <c r="C12" s="226"/>
      <c r="D12" s="1613" t="s">
        <v>131</v>
      </c>
      <c r="E12" s="225"/>
      <c r="F12" s="1633" t="s">
        <v>132</v>
      </c>
      <c r="G12" s="225"/>
      <c r="H12" s="1633" t="s">
        <v>133</v>
      </c>
      <c r="I12" s="225"/>
      <c r="J12" s="2416" t="s">
        <v>134</v>
      </c>
      <c r="K12" s="225"/>
      <c r="L12" s="1634" t="s">
        <v>135</v>
      </c>
      <c r="M12" s="225"/>
      <c r="N12" s="1634" t="s">
        <v>136</v>
      </c>
      <c r="O12" s="225"/>
      <c r="P12" s="1634" t="s">
        <v>137</v>
      </c>
      <c r="Q12" s="225"/>
      <c r="R12" s="1634" t="s">
        <v>138</v>
      </c>
      <c r="S12" s="225"/>
      <c r="T12" s="1634" t="s">
        <v>139</v>
      </c>
      <c r="U12" s="225"/>
      <c r="V12" s="1634" t="s">
        <v>156</v>
      </c>
      <c r="W12" s="225"/>
      <c r="X12" s="1634" t="s">
        <v>141</v>
      </c>
      <c r="Y12" s="225"/>
      <c r="Z12" s="1634" t="s">
        <v>142</v>
      </c>
      <c r="AA12" s="1632"/>
      <c r="AB12" s="225"/>
      <c r="AC12" s="1635">
        <v>2014</v>
      </c>
      <c r="AD12" s="225" t="s">
        <v>16</v>
      </c>
      <c r="AE12" s="225"/>
      <c r="AF12" s="2422">
        <v>2013</v>
      </c>
      <c r="AG12" s="1636"/>
      <c r="AH12" s="1630"/>
      <c r="AI12" s="1637" t="s">
        <v>13</v>
      </c>
      <c r="AJ12" s="417"/>
      <c r="AK12" s="1638" t="s">
        <v>14</v>
      </c>
    </row>
    <row r="13" spans="1:37" ht="5.25" customHeight="1">
      <c r="A13" s="461"/>
      <c r="B13" s="226"/>
      <c r="C13" s="226"/>
      <c r="D13" s="239" t="s">
        <v>16</v>
      </c>
      <c r="E13" s="226"/>
      <c r="F13" s="472"/>
      <c r="G13" s="226"/>
      <c r="H13" s="239"/>
      <c r="I13" s="226"/>
      <c r="J13" s="332"/>
      <c r="K13" s="226"/>
      <c r="L13" s="239"/>
      <c r="M13" s="226"/>
      <c r="N13" s="239"/>
      <c r="O13" s="226"/>
      <c r="P13" s="239"/>
      <c r="Q13" s="226"/>
      <c r="R13" s="239"/>
      <c r="S13" s="226"/>
      <c r="T13" s="239"/>
      <c r="U13" s="226"/>
      <c r="V13" s="239"/>
      <c r="W13" s="226"/>
      <c r="X13" s="239"/>
      <c r="Y13" s="226"/>
      <c r="Z13" s="239"/>
      <c r="AA13" s="233"/>
      <c r="AB13" s="226"/>
      <c r="AC13" s="233"/>
      <c r="AD13" s="226"/>
      <c r="AE13" s="226"/>
      <c r="AF13" s="2423"/>
      <c r="AG13" s="233"/>
      <c r="AH13" s="473"/>
    </row>
    <row r="14" spans="1:37" ht="15" customHeight="1">
      <c r="A14" s="357"/>
      <c r="B14" s="231" t="s">
        <v>143</v>
      </c>
      <c r="C14" s="227"/>
      <c r="D14" s="299">
        <v>2235.1999999999998</v>
      </c>
      <c r="E14" s="474"/>
      <c r="F14" s="299">
        <f>D135</f>
        <v>5532.7</v>
      </c>
      <c r="G14" s="474"/>
      <c r="H14" s="299">
        <f>F135</f>
        <v>4548.3999999999996</v>
      </c>
      <c r="I14" s="474"/>
      <c r="J14" s="341">
        <f>+H135</f>
        <v>5131.1000000000004</v>
      </c>
      <c r="K14" s="474"/>
      <c r="L14" s="299">
        <f>+J135</f>
        <v>6997.5</v>
      </c>
      <c r="M14" s="474"/>
      <c r="N14" s="299">
        <f>L135</f>
        <v>6889.3</v>
      </c>
      <c r="O14" s="474"/>
      <c r="P14" s="299">
        <f>N135</f>
        <v>8052.8</v>
      </c>
      <c r="Q14" s="474"/>
      <c r="R14" s="299"/>
      <c r="S14" s="474"/>
      <c r="T14" s="299"/>
      <c r="U14" s="474"/>
      <c r="V14" s="299"/>
      <c r="W14" s="299"/>
      <c r="X14" s="299"/>
      <c r="Y14" s="474"/>
      <c r="Z14" s="474"/>
      <c r="AA14" s="474"/>
      <c r="AB14" s="475"/>
      <c r="AC14" s="299">
        <f>D14</f>
        <v>2235.1999999999998</v>
      </c>
      <c r="AD14" s="474"/>
      <c r="AE14" s="475"/>
      <c r="AF14" s="341">
        <v>1610</v>
      </c>
      <c r="AG14" s="474"/>
      <c r="AH14" s="476"/>
      <c r="AI14" s="299">
        <f>ROUND(SUM(+AC14-AF14),1)</f>
        <v>625.20000000000005</v>
      </c>
      <c r="AJ14" s="3149"/>
      <c r="AK14" s="3239">
        <f>ROUND(IF(AF14=0,0,AI14/(AF14)),3)</f>
        <v>0.38800000000000001</v>
      </c>
    </row>
    <row r="15" spans="1:37" ht="15" customHeight="1">
      <c r="A15" s="357"/>
      <c r="B15" s="227"/>
      <c r="C15" s="227"/>
      <c r="D15" s="227"/>
      <c r="E15" s="227"/>
      <c r="F15" s="386"/>
      <c r="G15" s="227"/>
      <c r="H15" s="386"/>
      <c r="I15" s="227"/>
      <c r="J15" s="323"/>
      <c r="K15" s="227"/>
      <c r="L15" s="386"/>
      <c r="M15" s="227"/>
      <c r="N15" s="226"/>
      <c r="O15" s="227"/>
      <c r="P15" s="226"/>
      <c r="Q15" s="227"/>
      <c r="R15" s="226"/>
      <c r="S15" s="227"/>
      <c r="T15" s="226"/>
      <c r="U15" s="227"/>
      <c r="V15" s="226"/>
      <c r="W15" s="227"/>
      <c r="X15" s="226"/>
      <c r="Y15" s="227"/>
      <c r="Z15" s="226"/>
      <c r="AA15" s="226"/>
      <c r="AB15" s="241"/>
      <c r="AC15" s="226"/>
      <c r="AD15" s="227"/>
      <c r="AE15" s="241"/>
      <c r="AF15" s="311"/>
      <c r="AG15" s="226"/>
      <c r="AH15" s="473"/>
      <c r="AI15" s="462"/>
      <c r="AJ15" s="2362"/>
      <c r="AK15" s="1735"/>
    </row>
    <row r="16" spans="1:37" ht="15" customHeight="1">
      <c r="A16" s="357"/>
      <c r="B16" s="225" t="s">
        <v>15</v>
      </c>
      <c r="C16" s="227"/>
      <c r="D16" s="227"/>
      <c r="E16" s="227"/>
      <c r="F16" s="226"/>
      <c r="G16" s="227"/>
      <c r="H16" s="226"/>
      <c r="I16" s="227"/>
      <c r="J16" s="323"/>
      <c r="K16" s="227"/>
      <c r="L16" s="226"/>
      <c r="M16" s="227"/>
      <c r="N16" s="226"/>
      <c r="O16" s="227"/>
      <c r="P16" s="226"/>
      <c r="Q16" s="227"/>
      <c r="R16" s="226"/>
      <c r="S16" s="227"/>
      <c r="T16" s="226"/>
      <c r="U16" s="227"/>
      <c r="V16" s="226"/>
      <c r="W16" s="227"/>
      <c r="X16" s="226"/>
      <c r="Y16" s="227"/>
      <c r="Z16" s="226"/>
      <c r="AA16" s="226"/>
      <c r="AB16" s="241"/>
      <c r="AC16" s="226"/>
      <c r="AD16" s="227"/>
      <c r="AE16" s="241"/>
      <c r="AF16" s="311"/>
      <c r="AG16" s="226"/>
      <c r="AH16" s="473"/>
      <c r="AI16" s="462"/>
      <c r="AJ16" s="2362"/>
      <c r="AK16" s="1735"/>
    </row>
    <row r="17" spans="1:37" ht="15" customHeight="1">
      <c r="A17" s="357"/>
      <c r="B17" s="495" t="s">
        <v>1495</v>
      </c>
      <c r="C17" s="227"/>
      <c r="D17" s="227"/>
      <c r="E17" s="227"/>
      <c r="F17" s="226"/>
      <c r="G17" s="227"/>
      <c r="H17" s="226"/>
      <c r="I17" s="227"/>
      <c r="J17" s="323"/>
      <c r="K17" s="227"/>
      <c r="L17" s="226"/>
      <c r="M17" s="227"/>
      <c r="N17" s="226"/>
      <c r="O17" s="227"/>
      <c r="P17" s="226"/>
      <c r="Q17" s="227"/>
      <c r="R17" s="226"/>
      <c r="S17" s="227"/>
      <c r="T17" s="226"/>
      <c r="U17" s="227"/>
      <c r="V17" s="226"/>
      <c r="W17" s="227"/>
      <c r="X17" s="226"/>
      <c r="Y17" s="227"/>
      <c r="Z17" s="226"/>
      <c r="AA17" s="226"/>
      <c r="AB17" s="241"/>
      <c r="AC17" s="226"/>
      <c r="AD17" s="227"/>
      <c r="AE17" s="241"/>
      <c r="AF17" s="311"/>
      <c r="AG17" s="226"/>
      <c r="AH17" s="473"/>
      <c r="AI17" s="462"/>
      <c r="AJ17" s="2362"/>
      <c r="AK17" s="1735"/>
    </row>
    <row r="18" spans="1:37" ht="15" customHeight="1">
      <c r="A18" s="357"/>
      <c r="B18" s="2346" t="s">
        <v>1572</v>
      </c>
      <c r="C18" s="227"/>
      <c r="D18" s="227"/>
      <c r="E18" s="227"/>
      <c r="F18" s="226"/>
      <c r="G18" s="227"/>
      <c r="H18" s="226"/>
      <c r="I18" s="227"/>
      <c r="J18" s="323"/>
      <c r="K18" s="227"/>
      <c r="L18" s="226"/>
      <c r="M18" s="227"/>
      <c r="N18" s="226"/>
      <c r="O18" s="227"/>
      <c r="P18" s="226"/>
      <c r="Q18" s="227"/>
      <c r="R18" s="226"/>
      <c r="S18" s="227"/>
      <c r="T18" s="226"/>
      <c r="U18" s="227"/>
      <c r="V18" s="226"/>
      <c r="W18" s="227"/>
      <c r="X18" s="226"/>
      <c r="Y18" s="227"/>
      <c r="Z18" s="226"/>
      <c r="AA18" s="226"/>
      <c r="AB18" s="241"/>
      <c r="AC18" s="226"/>
      <c r="AD18" s="227"/>
      <c r="AE18" s="241"/>
      <c r="AF18" s="311"/>
      <c r="AG18" s="226"/>
      <c r="AH18" s="473"/>
      <c r="AI18" s="462"/>
      <c r="AJ18" s="2362"/>
      <c r="AK18" s="1735"/>
    </row>
    <row r="19" spans="1:37" ht="15" customHeight="1">
      <c r="A19" s="357"/>
      <c r="B19" s="1313" t="s">
        <v>1503</v>
      </c>
      <c r="C19" s="227"/>
      <c r="D19" s="1810">
        <v>2760.5</v>
      </c>
      <c r="E19" s="1810"/>
      <c r="F19" s="1810">
        <v>2421.3000000000002</v>
      </c>
      <c r="G19" s="1810"/>
      <c r="H19" s="1810">
        <v>2361.1999999999998</v>
      </c>
      <c r="I19" s="2388"/>
      <c r="J19" s="2417">
        <v>2563.1</v>
      </c>
      <c r="K19" s="227"/>
      <c r="L19" s="1160">
        <v>2371</v>
      </c>
      <c r="M19" s="227"/>
      <c r="N19" s="265">
        <v>2392.4</v>
      </c>
      <c r="O19" s="265"/>
      <c r="P19" s="265">
        <v>2525.4</v>
      </c>
      <c r="Q19" s="265"/>
      <c r="R19" s="265"/>
      <c r="S19" s="265"/>
      <c r="T19" s="265"/>
      <c r="U19" s="265"/>
      <c r="V19" s="265"/>
      <c r="W19" s="265"/>
      <c r="X19" s="265"/>
      <c r="Y19" s="265"/>
      <c r="Z19" s="265"/>
      <c r="AA19" s="226"/>
      <c r="AB19" s="241"/>
      <c r="AC19" s="265">
        <f>ROUND(SUM(D19:Z19),1)</f>
        <v>17394.900000000001</v>
      </c>
      <c r="AD19" s="227"/>
      <c r="AE19" s="241"/>
      <c r="AF19" s="87">
        <v>16509.099999999999</v>
      </c>
      <c r="AG19" s="226"/>
      <c r="AH19" s="473"/>
      <c r="AI19" s="1214">
        <f>ROUND(SUM(+AC19-AF19),1)</f>
        <v>885.8</v>
      </c>
      <c r="AJ19" s="2362"/>
      <c r="AK19" s="2040">
        <f>ROUND(IF(AF19=0,0,AI19/(AF19)),3)</f>
        <v>5.3999999999999999E-2</v>
      </c>
    </row>
    <row r="20" spans="1:37" ht="15" customHeight="1">
      <c r="A20" s="357"/>
      <c r="B20" s="1313" t="s">
        <v>1504</v>
      </c>
      <c r="C20" s="227"/>
      <c r="D20" s="1160">
        <v>4040.4</v>
      </c>
      <c r="E20" s="1160"/>
      <c r="F20" s="1160">
        <v>112.1</v>
      </c>
      <c r="G20" s="1160"/>
      <c r="H20" s="1160">
        <v>1891.6</v>
      </c>
      <c r="I20" s="227"/>
      <c r="J20" s="323">
        <v>95.3</v>
      </c>
      <c r="K20" s="227"/>
      <c r="L20" s="1160">
        <v>72.7</v>
      </c>
      <c r="M20" s="227"/>
      <c r="N20" s="265">
        <v>2228.8000000000002</v>
      </c>
      <c r="O20" s="265"/>
      <c r="P20" s="265">
        <v>153.1</v>
      </c>
      <c r="Q20" s="265"/>
      <c r="R20" s="265"/>
      <c r="S20" s="265"/>
      <c r="T20" s="265"/>
      <c r="U20" s="265"/>
      <c r="V20" s="265"/>
      <c r="W20" s="265"/>
      <c r="X20" s="265"/>
      <c r="Y20" s="265"/>
      <c r="Z20" s="265"/>
      <c r="AA20" s="226"/>
      <c r="AB20" s="241"/>
      <c r="AC20" s="265">
        <f>ROUND(SUM(D20:Z20),1)</f>
        <v>8594</v>
      </c>
      <c r="AD20" s="227"/>
      <c r="AE20" s="241"/>
      <c r="AF20" s="87">
        <v>10038.1</v>
      </c>
      <c r="AG20" s="226"/>
      <c r="AH20" s="473"/>
      <c r="AI20" s="1214">
        <f>ROUND(SUM(+AC20-AF20),1)</f>
        <v>-1444.1</v>
      </c>
      <c r="AJ20" s="2362"/>
      <c r="AK20" s="2040">
        <f>ROUND(IF(AF20=0,0,AI20/(AF20)),3)</f>
        <v>-0.14399999999999999</v>
      </c>
    </row>
    <row r="21" spans="1:37" ht="15" customHeight="1">
      <c r="A21" s="357"/>
      <c r="B21" s="1313" t="s">
        <v>1505</v>
      </c>
      <c r="C21" s="227"/>
      <c r="D21" s="1160">
        <v>1433.5</v>
      </c>
      <c r="E21" s="1160"/>
      <c r="F21" s="1160">
        <v>57.4</v>
      </c>
      <c r="G21" s="1160"/>
      <c r="H21" s="1160">
        <v>38.6</v>
      </c>
      <c r="I21" s="227"/>
      <c r="J21" s="323">
        <v>38.6</v>
      </c>
      <c r="K21" s="227"/>
      <c r="L21" s="1160">
        <v>29.9</v>
      </c>
      <c r="M21" s="227"/>
      <c r="N21" s="265">
        <v>53.8</v>
      </c>
      <c r="O21" s="265"/>
      <c r="P21" s="265">
        <v>335.3</v>
      </c>
      <c r="Q21" s="265"/>
      <c r="R21" s="265"/>
      <c r="S21" s="265"/>
      <c r="T21" s="265"/>
      <c r="U21" s="265"/>
      <c r="V21" s="265"/>
      <c r="W21" s="265"/>
      <c r="X21" s="265"/>
      <c r="Y21" s="265"/>
      <c r="Z21" s="265"/>
      <c r="AA21" s="226"/>
      <c r="AB21" s="241"/>
      <c r="AC21" s="265">
        <f>ROUND(SUM(D21:Z21),1)</f>
        <v>1987.1</v>
      </c>
      <c r="AD21" s="227"/>
      <c r="AE21" s="241"/>
      <c r="AF21" s="87">
        <v>2167.5</v>
      </c>
      <c r="AG21" s="226"/>
      <c r="AH21" s="473"/>
      <c r="AI21" s="1214">
        <f>ROUND(SUM(+AC21-AF21),1)</f>
        <v>-180.4</v>
      </c>
      <c r="AJ21" s="2362"/>
      <c r="AK21" s="2040">
        <f>ROUND(IF(AF21=0,0,AI21/(AF21)),3)</f>
        <v>-8.3000000000000004E-2</v>
      </c>
    </row>
    <row r="22" spans="1:37" ht="15" customHeight="1">
      <c r="A22" s="357"/>
      <c r="B22" s="2385" t="s">
        <v>1506</v>
      </c>
      <c r="C22" s="227"/>
      <c r="D22" s="1160">
        <v>-124.1</v>
      </c>
      <c r="E22" s="1160"/>
      <c r="F22" s="1160">
        <v>-26.9</v>
      </c>
      <c r="G22" s="1160"/>
      <c r="H22" s="1160">
        <v>-13.2</v>
      </c>
      <c r="I22" s="227"/>
      <c r="J22" s="323">
        <v>-10.4</v>
      </c>
      <c r="K22" s="227"/>
      <c r="L22" s="1160">
        <v>-10.9</v>
      </c>
      <c r="M22" s="227"/>
      <c r="N22" s="265">
        <v>-33.9</v>
      </c>
      <c r="O22" s="265"/>
      <c r="P22" s="265">
        <v>-210</v>
      </c>
      <c r="Q22" s="265"/>
      <c r="R22" s="265"/>
      <c r="S22" s="265"/>
      <c r="T22" s="265"/>
      <c r="U22" s="265"/>
      <c r="V22" s="265"/>
      <c r="W22" s="265"/>
      <c r="X22" s="265"/>
      <c r="Y22" s="265"/>
      <c r="Z22" s="265"/>
      <c r="AA22" s="226"/>
      <c r="AB22" s="241"/>
      <c r="AC22" s="265">
        <f>ROUND(SUM(D22:Z22),1)</f>
        <v>-429.4</v>
      </c>
      <c r="AD22" s="227"/>
      <c r="AE22" s="241"/>
      <c r="AF22" s="87">
        <v>-450.9</v>
      </c>
      <c r="AG22" s="226"/>
      <c r="AH22" s="473"/>
      <c r="AI22" s="1214">
        <f>-ROUND(SUM(+AC22-AF22),1)</f>
        <v>-21.5</v>
      </c>
      <c r="AJ22" s="2362"/>
      <c r="AK22" s="3249">
        <f>-ROUND(IF(AF22=0,0,AI22/(AF22)),3)</f>
        <v>-4.8000000000000001E-2</v>
      </c>
    </row>
    <row r="23" spans="1:37" ht="15" customHeight="1">
      <c r="A23" s="357"/>
      <c r="B23" s="2385" t="s">
        <v>1507</v>
      </c>
      <c r="C23" s="227"/>
      <c r="D23" s="1160">
        <v>112.2</v>
      </c>
      <c r="E23" s="1160"/>
      <c r="F23" s="1160">
        <v>126.9</v>
      </c>
      <c r="G23" s="1160"/>
      <c r="H23" s="1160">
        <v>93.9</v>
      </c>
      <c r="I23" s="227"/>
      <c r="J23" s="323">
        <v>85.7</v>
      </c>
      <c r="K23" s="227"/>
      <c r="L23" s="1160">
        <v>64.099999999999994</v>
      </c>
      <c r="M23" s="227"/>
      <c r="N23" s="265">
        <v>76.8</v>
      </c>
      <c r="O23" s="265"/>
      <c r="P23" s="265">
        <v>85.5</v>
      </c>
      <c r="Q23" s="265"/>
      <c r="R23" s="265"/>
      <c r="S23" s="265"/>
      <c r="T23" s="265"/>
      <c r="U23" s="265"/>
      <c r="V23" s="265"/>
      <c r="W23" s="265"/>
      <c r="X23" s="265"/>
      <c r="Y23" s="265"/>
      <c r="Z23" s="265"/>
      <c r="AA23" s="226"/>
      <c r="AB23" s="241"/>
      <c r="AC23" s="265">
        <f>ROUND(SUM(D23:Z23),1)</f>
        <v>645.1</v>
      </c>
      <c r="AD23" s="227"/>
      <c r="AE23" s="241"/>
      <c r="AF23" s="87">
        <v>599.1</v>
      </c>
      <c r="AG23" s="226"/>
      <c r="AH23" s="473"/>
      <c r="AI23" s="1214">
        <f>ROUND(SUM(+AC23-AF23),1)</f>
        <v>46</v>
      </c>
      <c r="AJ23" s="2362"/>
      <c r="AK23" s="2040">
        <f>ROUND(IF(AF23=0,0,AI23/(AF23)),3)</f>
        <v>7.6999999999999999E-2</v>
      </c>
    </row>
    <row r="24" spans="1:37" ht="15" customHeight="1">
      <c r="A24" s="357"/>
      <c r="B24" s="1314" t="s">
        <v>1508</v>
      </c>
      <c r="C24" s="227"/>
      <c r="D24" s="489">
        <f>ROUND(SUM(D19:D23),1)</f>
        <v>8222.5</v>
      </c>
      <c r="E24" s="227"/>
      <c r="F24" s="489">
        <f>ROUND(SUM(F19:F23),1)</f>
        <v>2690.8</v>
      </c>
      <c r="G24" s="227"/>
      <c r="H24" s="489">
        <f>ROUND(SUM(H19:H23),1)</f>
        <v>4372.1000000000004</v>
      </c>
      <c r="I24" s="227"/>
      <c r="J24" s="1327">
        <f>ROUND(SUM(J19:J23),1)</f>
        <v>2772.3</v>
      </c>
      <c r="K24" s="227"/>
      <c r="L24" s="489">
        <f>ROUND(SUM(L19:L23),1)</f>
        <v>2526.8000000000002</v>
      </c>
      <c r="M24" s="227"/>
      <c r="N24" s="489">
        <f>ROUND(SUM(N19:N23),1)</f>
        <v>4717.8999999999996</v>
      </c>
      <c r="O24" s="265"/>
      <c r="P24" s="489">
        <f>ROUND(SUM(P19:P23),1)</f>
        <v>2889.3</v>
      </c>
      <c r="Q24" s="265"/>
      <c r="R24" s="489">
        <f>ROUND(SUM(R19:R23),1)</f>
        <v>0</v>
      </c>
      <c r="S24" s="265"/>
      <c r="T24" s="489">
        <f>ROUND(SUM(T19:T23),1)</f>
        <v>0</v>
      </c>
      <c r="U24" s="265"/>
      <c r="V24" s="489">
        <f>ROUND(SUM(V19:V23),1)</f>
        <v>0</v>
      </c>
      <c r="W24" s="265"/>
      <c r="X24" s="489">
        <f>ROUND(SUM(X19:X23),1)</f>
        <v>0</v>
      </c>
      <c r="Y24" s="265"/>
      <c r="Z24" s="489">
        <f>ROUND(SUM(Z19:Z23),1)</f>
        <v>0</v>
      </c>
      <c r="AA24" s="226"/>
      <c r="AB24" s="241"/>
      <c r="AC24" s="489">
        <f>ROUND(SUM(AC19:AC23),1)</f>
        <v>28191.7</v>
      </c>
      <c r="AD24" s="227"/>
      <c r="AE24" s="241"/>
      <c r="AF24" s="1327">
        <f>ROUND(SUM(AF19:AF23),1)</f>
        <v>28862.9</v>
      </c>
      <c r="AG24" s="226"/>
      <c r="AH24" s="473"/>
      <c r="AI24" s="489">
        <f>ROUND(SUM(AC24-AF24),1)</f>
        <v>-671.2</v>
      </c>
      <c r="AJ24" s="2362"/>
      <c r="AK24" s="2373">
        <f>ROUND(SUM(+AI24/AF24),3)</f>
        <v>-2.3E-2</v>
      </c>
    </row>
    <row r="25" spans="1:37" ht="15" customHeight="1">
      <c r="A25" s="357"/>
      <c r="B25" s="2385" t="s">
        <v>1510</v>
      </c>
      <c r="C25" s="227"/>
      <c r="D25" s="1572">
        <v>0</v>
      </c>
      <c r="E25" s="1160"/>
      <c r="F25" s="1572">
        <v>0</v>
      </c>
      <c r="G25" s="1160"/>
      <c r="H25" s="1572">
        <v>-424.2</v>
      </c>
      <c r="I25" s="227"/>
      <c r="J25" s="323">
        <v>0</v>
      </c>
      <c r="K25" s="227"/>
      <c r="L25" s="1572">
        <v>0</v>
      </c>
      <c r="M25" s="227"/>
      <c r="N25" s="265">
        <v>-203.3</v>
      </c>
      <c r="O25" s="265"/>
      <c r="P25" s="265">
        <v>-4.5</v>
      </c>
      <c r="Q25" s="265"/>
      <c r="R25" s="265"/>
      <c r="S25" s="265"/>
      <c r="T25" s="265"/>
      <c r="U25" s="265"/>
      <c r="V25" s="265"/>
      <c r="W25" s="265"/>
      <c r="X25" s="265"/>
      <c r="Y25" s="265"/>
      <c r="Z25" s="265"/>
      <c r="AA25" s="226"/>
      <c r="AB25" s="241"/>
      <c r="AC25" s="265">
        <f>ROUND(SUM(D25:Z25),1)</f>
        <v>-632</v>
      </c>
      <c r="AD25" s="227"/>
      <c r="AE25" s="241"/>
      <c r="AF25" s="2926">
        <v>-618.5</v>
      </c>
      <c r="AG25" s="226"/>
      <c r="AH25" s="473"/>
      <c r="AI25" s="1214">
        <f>-ROUND(SUM(+AC25-AF25),1)</f>
        <v>13.5</v>
      </c>
      <c r="AJ25" s="2362"/>
      <c r="AK25" s="3249">
        <f>-ROUND(IF(AF25=0,0,AI25/(AF25)),3)</f>
        <v>2.1999999999999999E-2</v>
      </c>
    </row>
    <row r="26" spans="1:37" ht="15" customHeight="1">
      <c r="A26" s="357"/>
      <c r="B26" s="2385" t="s">
        <v>1511</v>
      </c>
      <c r="C26" s="227"/>
      <c r="D26" s="1245">
        <v>-1338.3</v>
      </c>
      <c r="E26" s="1160"/>
      <c r="F26" s="1245">
        <v>-525.5</v>
      </c>
      <c r="G26" s="1160"/>
      <c r="H26" s="1245">
        <v>-1061.2</v>
      </c>
      <c r="I26" s="227"/>
      <c r="J26" s="323">
        <v>-641.4</v>
      </c>
      <c r="K26" s="227"/>
      <c r="L26" s="1245">
        <v>-597.6</v>
      </c>
      <c r="M26" s="227"/>
      <c r="N26" s="265">
        <v>-1057.5999999999999</v>
      </c>
      <c r="O26" s="265"/>
      <c r="P26" s="265">
        <v>-621.79999999999995</v>
      </c>
      <c r="Q26" s="265"/>
      <c r="R26" s="265"/>
      <c r="S26" s="265"/>
      <c r="T26" s="265"/>
      <c r="U26" s="265"/>
      <c r="V26" s="265"/>
      <c r="W26" s="265"/>
      <c r="X26" s="265"/>
      <c r="Y26" s="265"/>
      <c r="Z26" s="265"/>
      <c r="AA26" s="226"/>
      <c r="AB26" s="241"/>
      <c r="AC26" s="265">
        <f>ROUND(SUM(D26:Z26),1)</f>
        <v>-5843.4</v>
      </c>
      <c r="AD26" s="227"/>
      <c r="AE26" s="241"/>
      <c r="AF26" s="2927">
        <v>-5995.2</v>
      </c>
      <c r="AG26" s="226"/>
      <c r="AH26" s="473"/>
      <c r="AI26" s="1214">
        <f>-ROUND(SUM(+AC26-AF26),1)</f>
        <v>-151.80000000000001</v>
      </c>
      <c r="AJ26" s="2362"/>
      <c r="AK26" s="3249">
        <f>ROUND(IF(AF26=0,0,AI26/(AF26)),3)*-1</f>
        <v>-2.5000000000000001E-2</v>
      </c>
    </row>
    <row r="27" spans="1:37" ht="15" customHeight="1">
      <c r="A27" s="357"/>
      <c r="B27" s="1313" t="s">
        <v>1512</v>
      </c>
      <c r="C27" s="227"/>
      <c r="D27" s="1160">
        <v>-2869.2</v>
      </c>
      <c r="E27" s="1160"/>
      <c r="F27" s="1160">
        <v>-588.9</v>
      </c>
      <c r="G27" s="1160"/>
      <c r="H27" s="1160">
        <v>-127.3</v>
      </c>
      <c r="I27" s="227"/>
      <c r="J27" s="323">
        <v>-206.8</v>
      </c>
      <c r="K27" s="227"/>
      <c r="L27" s="1160">
        <v>-136.4</v>
      </c>
      <c r="M27" s="227"/>
      <c r="N27" s="265">
        <v>-487.5</v>
      </c>
      <c r="O27" s="265"/>
      <c r="P27" s="265">
        <v>-401.9</v>
      </c>
      <c r="Q27" s="265"/>
      <c r="R27" s="265"/>
      <c r="S27" s="265"/>
      <c r="T27" s="265"/>
      <c r="U27" s="265"/>
      <c r="V27" s="265"/>
      <c r="W27" s="265"/>
      <c r="X27" s="265"/>
      <c r="Y27" s="265"/>
      <c r="Z27" s="265"/>
      <c r="AA27" s="226"/>
      <c r="AB27" s="241"/>
      <c r="AC27" s="265">
        <f>ROUND(SUM(D27:Z27),1)</f>
        <v>-4818</v>
      </c>
      <c r="AD27" s="227"/>
      <c r="AE27" s="241"/>
      <c r="AF27" s="87">
        <v>-4882</v>
      </c>
      <c r="AG27" s="226"/>
      <c r="AH27" s="473"/>
      <c r="AI27" s="1214">
        <f>-ROUND(SUM(+AC27-AF27),1)</f>
        <v>-64</v>
      </c>
      <c r="AJ27" s="2362"/>
      <c r="AK27" s="3249">
        <f>ROUND(IF(AF27=0,0,AI27/(AF27)),3)*-1</f>
        <v>-1.2999999999999999E-2</v>
      </c>
    </row>
    <row r="28" spans="1:37" ht="15" customHeight="1">
      <c r="A28" s="357"/>
      <c r="B28" s="594" t="s">
        <v>1509</v>
      </c>
      <c r="C28" s="226"/>
      <c r="D28" s="489">
        <f>ROUND(SUM(D24+D25+D26+D27),1)</f>
        <v>4015</v>
      </c>
      <c r="E28" s="265"/>
      <c r="F28" s="489">
        <f>ROUND(SUM(F24+F25+F26+F27),1)</f>
        <v>1576.4</v>
      </c>
      <c r="G28" s="265"/>
      <c r="H28" s="489">
        <f>ROUND(SUM(H24+H25+H26+H27),1)</f>
        <v>2759.4</v>
      </c>
      <c r="I28" s="265"/>
      <c r="J28" s="1327">
        <f>ROUND(SUM(J24+J25+J26+J27),1)</f>
        <v>1924.1</v>
      </c>
      <c r="K28" s="265"/>
      <c r="L28" s="489">
        <f>ROUND(SUM(L24+L25+L26+L27),1)</f>
        <v>1792.8</v>
      </c>
      <c r="M28" s="265"/>
      <c r="N28" s="489">
        <f>ROUND(SUM(N24+N25+N26+N27),1)</f>
        <v>2969.5</v>
      </c>
      <c r="O28" s="265"/>
      <c r="P28" s="489">
        <f>ROUND(SUM(P24+P25+P26+P27),1)</f>
        <v>1861.1</v>
      </c>
      <c r="Q28" s="265"/>
      <c r="R28" s="489">
        <f>ROUND(SUM(R24+R25+R26+R27),1)</f>
        <v>0</v>
      </c>
      <c r="S28" s="265"/>
      <c r="T28" s="489">
        <f>ROUND(SUM(T24+T25+T26+T27),1)</f>
        <v>0</v>
      </c>
      <c r="U28" s="265"/>
      <c r="V28" s="489">
        <f>ROUND(SUM(V24+V25+V26+V27),1)</f>
        <v>0</v>
      </c>
      <c r="W28" s="265"/>
      <c r="X28" s="489">
        <f>ROUND(SUM(X24+X25+X26+X27),1)</f>
        <v>0</v>
      </c>
      <c r="Y28" s="265"/>
      <c r="Z28" s="489">
        <f>ROUND(SUM(Z24+Z25+Z26+Z27),1)</f>
        <v>0</v>
      </c>
      <c r="AA28" s="372"/>
      <c r="AB28" s="241"/>
      <c r="AC28" s="489">
        <f>ROUND(SUM(AC24+AC25+AC26+AC27),1)</f>
        <v>16898.3</v>
      </c>
      <c r="AD28" s="265"/>
      <c r="AE28" s="254"/>
      <c r="AF28" s="1327">
        <f>ROUND(SUM(AF24+AF25+AF26+AF27),1)</f>
        <v>17367.2</v>
      </c>
      <c r="AG28" s="265"/>
      <c r="AH28" s="1320"/>
      <c r="AI28" s="489">
        <f>ROUND(SUM(AI24-AI25-AI26-AI27),1)</f>
        <v>-468.9</v>
      </c>
      <c r="AJ28" s="2176"/>
      <c r="AK28" s="2373">
        <f>ROUND(SUM(+AI28/AF28),3)</f>
        <v>-2.7E-2</v>
      </c>
    </row>
    <row r="29" spans="1:37" ht="15" customHeight="1">
      <c r="A29" s="357"/>
      <c r="B29" s="2346" t="s">
        <v>1569</v>
      </c>
      <c r="C29" s="226"/>
      <c r="D29" s="277"/>
      <c r="E29" s="265"/>
      <c r="F29" s="277"/>
      <c r="G29" s="265"/>
      <c r="H29" s="277"/>
      <c r="I29" s="265"/>
      <c r="J29" s="320"/>
      <c r="K29" s="265"/>
      <c r="L29" s="277"/>
      <c r="M29" s="265"/>
      <c r="N29" s="277"/>
      <c r="O29" s="265"/>
      <c r="P29" s="277"/>
      <c r="Q29" s="265"/>
      <c r="R29" s="277"/>
      <c r="S29" s="265"/>
      <c r="T29" s="277"/>
      <c r="U29" s="265"/>
      <c r="V29" s="277"/>
      <c r="W29" s="265"/>
      <c r="X29" s="277"/>
      <c r="Y29" s="265"/>
      <c r="Z29" s="277"/>
      <c r="AA29" s="372"/>
      <c r="AB29" s="241"/>
      <c r="AC29" s="277"/>
      <c r="AD29" s="265"/>
      <c r="AE29" s="254"/>
      <c r="AF29" s="320"/>
      <c r="AG29" s="265"/>
      <c r="AH29" s="1320"/>
      <c r="AI29" s="277"/>
      <c r="AJ29" s="2176"/>
      <c r="AK29" s="2343"/>
    </row>
    <row r="30" spans="1:37" ht="15" customHeight="1">
      <c r="A30" s="357"/>
      <c r="B30" s="1313" t="s">
        <v>1515</v>
      </c>
      <c r="C30" s="226"/>
      <c r="D30" s="1160">
        <v>453.6</v>
      </c>
      <c r="E30" s="1160"/>
      <c r="F30" s="1160">
        <v>456.8</v>
      </c>
      <c r="G30" s="1160"/>
      <c r="H30" s="1160">
        <v>602.4</v>
      </c>
      <c r="I30" s="265"/>
      <c r="J30" s="2314">
        <v>469.6</v>
      </c>
      <c r="K30" s="265"/>
      <c r="L30" s="1160">
        <v>466.2</v>
      </c>
      <c r="M30" s="265"/>
      <c r="N30" s="2176">
        <v>620.1</v>
      </c>
      <c r="O30" s="265"/>
      <c r="P30" s="2176">
        <v>465.9</v>
      </c>
      <c r="Q30" s="1214"/>
      <c r="R30" s="2176"/>
      <c r="S30" s="1214"/>
      <c r="T30" s="2176"/>
      <c r="U30" s="1214"/>
      <c r="V30" s="2176"/>
      <c r="W30" s="1214"/>
      <c r="X30" s="2176"/>
      <c r="Y30" s="1214"/>
      <c r="Z30" s="2176"/>
      <c r="AA30" s="372"/>
      <c r="AB30" s="241"/>
      <c r="AC30" s="265">
        <f t="shared" ref="AC30:AC36" si="0">ROUND(SUM(D30:Z30),1)</f>
        <v>3534.6</v>
      </c>
      <c r="AD30" s="265"/>
      <c r="AE30" s="254"/>
      <c r="AF30" s="87">
        <v>3416.8</v>
      </c>
      <c r="AG30" s="265"/>
      <c r="AH30" s="1320"/>
      <c r="AI30" s="1214">
        <f t="shared" ref="AI30:AI36" si="1">ROUND(SUM(+AC30-AF30),1)</f>
        <v>117.8</v>
      </c>
      <c r="AJ30" s="2176"/>
      <c r="AK30" s="2040">
        <f t="shared" ref="AK30:AK36" si="2">ROUND(IF(AF30=0,0,AI30/(AF30)),3)</f>
        <v>3.4000000000000002E-2</v>
      </c>
    </row>
    <row r="31" spans="1:37" ht="15" customHeight="1">
      <c r="A31" s="357"/>
      <c r="B31" s="1313" t="s">
        <v>1516</v>
      </c>
      <c r="C31" s="226"/>
      <c r="D31" s="1245">
        <v>0</v>
      </c>
      <c r="E31" s="1160"/>
      <c r="F31" s="1245">
        <v>0</v>
      </c>
      <c r="G31" s="1160"/>
      <c r="H31" s="1245">
        <v>0</v>
      </c>
      <c r="I31" s="265"/>
      <c r="J31" s="2314">
        <v>0</v>
      </c>
      <c r="K31" s="265"/>
      <c r="L31" s="1245">
        <v>0</v>
      </c>
      <c r="M31" s="265"/>
      <c r="N31" s="2176">
        <v>0</v>
      </c>
      <c r="O31" s="265"/>
      <c r="P31" s="2176">
        <v>0</v>
      </c>
      <c r="Q31" s="1214"/>
      <c r="R31" s="2176"/>
      <c r="S31" s="1214"/>
      <c r="T31" s="2176"/>
      <c r="U31" s="1214"/>
      <c r="V31" s="2176"/>
      <c r="W31" s="1214"/>
      <c r="X31" s="2176"/>
      <c r="Y31" s="1214"/>
      <c r="Z31" s="2176"/>
      <c r="AA31" s="372"/>
      <c r="AB31" s="241"/>
      <c r="AC31" s="265">
        <f t="shared" si="0"/>
        <v>0</v>
      </c>
      <c r="AD31" s="265"/>
      <c r="AE31" s="254"/>
      <c r="AF31" s="2928">
        <v>0</v>
      </c>
      <c r="AG31" s="265"/>
      <c r="AH31" s="1320"/>
      <c r="AI31" s="1214">
        <f t="shared" si="1"/>
        <v>0</v>
      </c>
      <c r="AJ31" s="2176"/>
      <c r="AK31" s="2040">
        <f t="shared" si="2"/>
        <v>0</v>
      </c>
    </row>
    <row r="32" spans="1:37" ht="15" customHeight="1">
      <c r="A32" s="357"/>
      <c r="B32" s="1313" t="s">
        <v>1517</v>
      </c>
      <c r="C32" s="226"/>
      <c r="D32" s="1160">
        <v>33.5</v>
      </c>
      <c r="E32" s="1160"/>
      <c r="F32" s="1160">
        <v>31.4</v>
      </c>
      <c r="G32" s="1160"/>
      <c r="H32" s="1160">
        <v>31.5</v>
      </c>
      <c r="I32" s="265"/>
      <c r="J32" s="2314">
        <v>30.2</v>
      </c>
      <c r="K32" s="265"/>
      <c r="L32" s="1160">
        <v>35.200000000000003</v>
      </c>
      <c r="M32" s="265"/>
      <c r="N32" s="2176">
        <v>32.200000000000003</v>
      </c>
      <c r="O32" s="265"/>
      <c r="P32" s="2176">
        <v>31.1</v>
      </c>
      <c r="Q32" s="1214"/>
      <c r="R32" s="2176"/>
      <c r="S32" s="1214"/>
      <c r="T32" s="2176"/>
      <c r="U32" s="1214"/>
      <c r="V32" s="2176"/>
      <c r="W32" s="1214"/>
      <c r="X32" s="2176"/>
      <c r="Y32" s="1214"/>
      <c r="Z32" s="2176"/>
      <c r="AA32" s="372"/>
      <c r="AB32" s="241"/>
      <c r="AC32" s="265">
        <f t="shared" si="0"/>
        <v>225.1</v>
      </c>
      <c r="AD32" s="265"/>
      <c r="AE32" s="254"/>
      <c r="AF32" s="87">
        <v>264.5</v>
      </c>
      <c r="AG32" s="265"/>
      <c r="AH32" s="1320"/>
      <c r="AI32" s="1214">
        <f t="shared" si="1"/>
        <v>-39.4</v>
      </c>
      <c r="AJ32" s="2176"/>
      <c r="AK32" s="2040">
        <f t="shared" si="2"/>
        <v>-0.14899999999999999</v>
      </c>
    </row>
    <row r="33" spans="1:37" ht="15" customHeight="1">
      <c r="A33" s="357"/>
      <c r="B33" s="1313" t="s">
        <v>1518</v>
      </c>
      <c r="C33" s="226"/>
      <c r="D33" s="1245">
        <v>0</v>
      </c>
      <c r="E33" s="1160"/>
      <c r="F33" s="1245">
        <v>0</v>
      </c>
      <c r="G33" s="1160"/>
      <c r="H33" s="1245">
        <v>0</v>
      </c>
      <c r="I33" s="265"/>
      <c r="J33" s="2314">
        <v>0</v>
      </c>
      <c r="K33" s="265"/>
      <c r="L33" s="1245">
        <v>0</v>
      </c>
      <c r="M33" s="265"/>
      <c r="N33" s="2176">
        <v>0</v>
      </c>
      <c r="O33" s="265"/>
      <c r="P33" s="2176">
        <v>0</v>
      </c>
      <c r="Q33" s="1214"/>
      <c r="R33" s="2176"/>
      <c r="S33" s="1214"/>
      <c r="T33" s="2176"/>
      <c r="U33" s="1214"/>
      <c r="V33" s="2176"/>
      <c r="W33" s="1214"/>
      <c r="X33" s="2176"/>
      <c r="Y33" s="1214"/>
      <c r="Z33" s="2176"/>
      <c r="AA33" s="372"/>
      <c r="AB33" s="241"/>
      <c r="AC33" s="265">
        <f t="shared" si="0"/>
        <v>0</v>
      </c>
      <c r="AD33" s="265"/>
      <c r="AE33" s="254"/>
      <c r="AF33" s="2928">
        <v>0</v>
      </c>
      <c r="AG33" s="265"/>
      <c r="AH33" s="1320"/>
      <c r="AI33" s="1214">
        <f t="shared" si="1"/>
        <v>0</v>
      </c>
      <c r="AJ33" s="2176"/>
      <c r="AK33" s="2040">
        <f>ROUND(IF(AF33=0,0,AI33/(AF33)),3)</f>
        <v>0</v>
      </c>
    </row>
    <row r="34" spans="1:37" ht="15" customHeight="1">
      <c r="A34" s="357"/>
      <c r="B34" s="1313" t="s">
        <v>1519</v>
      </c>
      <c r="C34" s="226"/>
      <c r="D34" s="1160">
        <v>19.399999999999999</v>
      </c>
      <c r="E34" s="1160"/>
      <c r="F34" s="1160">
        <v>19</v>
      </c>
      <c r="G34" s="1160"/>
      <c r="H34" s="1160">
        <v>22.4</v>
      </c>
      <c r="I34" s="265"/>
      <c r="J34" s="2314">
        <v>26.8</v>
      </c>
      <c r="K34" s="265"/>
      <c r="L34" s="1160">
        <v>18.7</v>
      </c>
      <c r="M34" s="265"/>
      <c r="N34" s="2176">
        <v>22.1</v>
      </c>
      <c r="O34" s="265"/>
      <c r="P34" s="2176">
        <v>18.899999999999999</v>
      </c>
      <c r="Q34" s="1214"/>
      <c r="R34" s="2176"/>
      <c r="S34" s="1214"/>
      <c r="T34" s="2176"/>
      <c r="U34" s="1214"/>
      <c r="V34" s="2176"/>
      <c r="W34" s="1214"/>
      <c r="X34" s="2176"/>
      <c r="Y34" s="1214"/>
      <c r="Z34" s="2176"/>
      <c r="AA34" s="372"/>
      <c r="AB34" s="241"/>
      <c r="AC34" s="265">
        <f t="shared" si="0"/>
        <v>147.30000000000001</v>
      </c>
      <c r="AD34" s="265"/>
      <c r="AE34" s="254"/>
      <c r="AF34" s="87">
        <v>146.69999999999999</v>
      </c>
      <c r="AG34" s="265"/>
      <c r="AH34" s="1320"/>
      <c r="AI34" s="1214">
        <f t="shared" si="1"/>
        <v>0.6</v>
      </c>
      <c r="AJ34" s="2176"/>
      <c r="AK34" s="2040">
        <f t="shared" si="2"/>
        <v>4.0000000000000001E-3</v>
      </c>
    </row>
    <row r="35" spans="1:37" ht="15" customHeight="1">
      <c r="A35" s="357"/>
      <c r="B35" s="1313" t="s">
        <v>1520</v>
      </c>
      <c r="C35" s="226"/>
      <c r="D35" s="1245">
        <v>0</v>
      </c>
      <c r="E35" s="1160"/>
      <c r="F35" s="1245">
        <v>0</v>
      </c>
      <c r="G35" s="1160"/>
      <c r="H35" s="1245">
        <v>0</v>
      </c>
      <c r="I35" s="265"/>
      <c r="J35" s="2314">
        <v>0</v>
      </c>
      <c r="K35" s="265"/>
      <c r="L35" s="1245">
        <v>0</v>
      </c>
      <c r="M35" s="265"/>
      <c r="N35" s="2176">
        <v>0</v>
      </c>
      <c r="O35" s="265"/>
      <c r="P35" s="2176">
        <v>0</v>
      </c>
      <c r="Q35" s="1214"/>
      <c r="R35" s="2176"/>
      <c r="S35" s="1214"/>
      <c r="T35" s="2176"/>
      <c r="U35" s="1214"/>
      <c r="V35" s="2176"/>
      <c r="W35" s="1214"/>
      <c r="X35" s="2176"/>
      <c r="Y35" s="1214"/>
      <c r="Z35" s="2176"/>
      <c r="AA35" s="372"/>
      <c r="AB35" s="241"/>
      <c r="AC35" s="265">
        <f t="shared" si="0"/>
        <v>0</v>
      </c>
      <c r="AD35" s="265"/>
      <c r="AE35" s="254"/>
      <c r="AF35" s="2314">
        <v>0</v>
      </c>
      <c r="AG35" s="265"/>
      <c r="AH35" s="1320"/>
      <c r="AI35" s="1214">
        <f t="shared" si="1"/>
        <v>0</v>
      </c>
      <c r="AJ35" s="2176"/>
      <c r="AK35" s="2040">
        <f t="shared" si="2"/>
        <v>0</v>
      </c>
    </row>
    <row r="36" spans="1:37" ht="15" customHeight="1">
      <c r="A36" s="357"/>
      <c r="B36" s="2386" t="s">
        <v>1521</v>
      </c>
      <c r="C36" s="226"/>
      <c r="D36" s="1245">
        <v>0</v>
      </c>
      <c r="E36" s="1160"/>
      <c r="F36" s="1245">
        <v>0</v>
      </c>
      <c r="G36" s="1160"/>
      <c r="H36" s="1245">
        <v>0</v>
      </c>
      <c r="I36" s="265"/>
      <c r="J36" s="2314">
        <v>0</v>
      </c>
      <c r="K36" s="265"/>
      <c r="L36" s="1245">
        <v>0</v>
      </c>
      <c r="M36" s="265"/>
      <c r="N36" s="2176">
        <v>0</v>
      </c>
      <c r="O36" s="265"/>
      <c r="P36" s="2176">
        <v>0</v>
      </c>
      <c r="Q36" s="1214"/>
      <c r="R36" s="2176"/>
      <c r="S36" s="1214"/>
      <c r="T36" s="2176"/>
      <c r="U36" s="1214"/>
      <c r="V36" s="2176"/>
      <c r="W36" s="1214"/>
      <c r="X36" s="2176"/>
      <c r="Y36" s="1214"/>
      <c r="Z36" s="2176"/>
      <c r="AA36" s="372"/>
      <c r="AB36" s="241"/>
      <c r="AC36" s="265">
        <f t="shared" si="0"/>
        <v>0</v>
      </c>
      <c r="AD36" s="265"/>
      <c r="AE36" s="254"/>
      <c r="AF36" s="2314">
        <v>0</v>
      </c>
      <c r="AG36" s="265"/>
      <c r="AH36" s="1320"/>
      <c r="AI36" s="1214">
        <f t="shared" si="1"/>
        <v>0</v>
      </c>
      <c r="AJ36" s="2176"/>
      <c r="AK36" s="2040">
        <f t="shared" si="2"/>
        <v>0</v>
      </c>
    </row>
    <row r="37" spans="1:37" s="427" customFormat="1" ht="15" customHeight="1">
      <c r="A37" s="2371"/>
      <c r="B37" s="594" t="s">
        <v>1514</v>
      </c>
      <c r="C37" s="417"/>
      <c r="D37" s="489">
        <f>ROUND(SUM(D30:D36),1)</f>
        <v>506.5</v>
      </c>
      <c r="E37" s="2154"/>
      <c r="F37" s="489">
        <f>ROUND(SUM(F30:F36),1)</f>
        <v>507.2</v>
      </c>
      <c r="G37" s="2154"/>
      <c r="H37" s="489">
        <f>ROUND(SUM(H30:H36),1)</f>
        <v>656.3</v>
      </c>
      <c r="I37" s="2154"/>
      <c r="J37" s="1327">
        <f>ROUND(SUM(J30:J36),1)</f>
        <v>526.6</v>
      </c>
      <c r="K37" s="2154"/>
      <c r="L37" s="489">
        <f>ROUND(SUM(L30:L36),1)</f>
        <v>520.1</v>
      </c>
      <c r="M37" s="2154"/>
      <c r="N37" s="489">
        <f>ROUND(SUM(N30:N36),1)</f>
        <v>674.4</v>
      </c>
      <c r="O37" s="2154"/>
      <c r="P37" s="489">
        <f>ROUND(SUM(P30:P36),1)</f>
        <v>515.9</v>
      </c>
      <c r="Q37" s="2154"/>
      <c r="R37" s="489">
        <f>ROUND(SUM(R30:R36),1)</f>
        <v>0</v>
      </c>
      <c r="S37" s="2154"/>
      <c r="T37" s="489">
        <f>ROUND(SUM(T30:T36),1)</f>
        <v>0</v>
      </c>
      <c r="U37" s="2154"/>
      <c r="V37" s="489">
        <f>ROUND(SUM(V30:V36),1)</f>
        <v>0</v>
      </c>
      <c r="W37" s="2154"/>
      <c r="X37" s="489">
        <f>ROUND(SUM(X30:X36),1)</f>
        <v>0</v>
      </c>
      <c r="Y37" s="2154"/>
      <c r="Z37" s="489">
        <f>ROUND(SUM(Z30:Z36),1)</f>
        <v>0</v>
      </c>
      <c r="AA37" s="414"/>
      <c r="AB37" s="490"/>
      <c r="AC37" s="489">
        <f>ROUND(SUM(AC30:AC36),1)</f>
        <v>3907</v>
      </c>
      <c r="AD37" s="2154"/>
      <c r="AE37" s="263"/>
      <c r="AF37" s="1327">
        <f>ROUND(SUM(AF30:AF36),1)</f>
        <v>3828</v>
      </c>
      <c r="AG37" s="2154"/>
      <c r="AH37" s="1322"/>
      <c r="AI37" s="489">
        <f>ROUND(SUM(AI30:AI36),1)</f>
        <v>79</v>
      </c>
      <c r="AJ37" s="277"/>
      <c r="AK37" s="2373">
        <f>ROUND(SUM(+AI37/AF37),3)</f>
        <v>2.1000000000000001E-2</v>
      </c>
    </row>
    <row r="38" spans="1:37" s="427" customFormat="1" ht="15" customHeight="1">
      <c r="A38" s="2371"/>
      <c r="B38" s="2346" t="s">
        <v>1570</v>
      </c>
      <c r="C38" s="417"/>
      <c r="D38" s="277"/>
      <c r="E38" s="2154"/>
      <c r="F38" s="277"/>
      <c r="G38" s="2154"/>
      <c r="H38" s="277"/>
      <c r="I38" s="2154"/>
      <c r="J38" s="2314"/>
      <c r="K38" s="2154"/>
      <c r="L38" s="277"/>
      <c r="M38" s="2154"/>
      <c r="N38" s="277"/>
      <c r="O38" s="2154"/>
      <c r="P38" s="277"/>
      <c r="Q38" s="2154"/>
      <c r="R38" s="277"/>
      <c r="S38" s="2154"/>
      <c r="T38" s="277"/>
      <c r="U38" s="2154"/>
      <c r="V38" s="277"/>
      <c r="W38" s="2154"/>
      <c r="X38" s="277"/>
      <c r="Y38" s="2154"/>
      <c r="Z38" s="277"/>
      <c r="AA38" s="414"/>
      <c r="AB38" s="490"/>
      <c r="AC38" s="277"/>
      <c r="AD38" s="2154"/>
      <c r="AE38" s="263"/>
      <c r="AF38" s="320"/>
      <c r="AG38" s="2154"/>
      <c r="AH38" s="1322"/>
      <c r="AI38" s="277"/>
      <c r="AJ38" s="277"/>
      <c r="AK38" s="2343"/>
    </row>
    <row r="39" spans="1:37" s="427" customFormat="1" ht="15" customHeight="1">
      <c r="A39" s="2371"/>
      <c r="B39" s="1313" t="s">
        <v>1523</v>
      </c>
      <c r="C39" s="417"/>
      <c r="D39" s="1160">
        <v>118</v>
      </c>
      <c r="E39" s="1160"/>
      <c r="F39" s="1160">
        <v>33.799999999999997</v>
      </c>
      <c r="G39" s="1160"/>
      <c r="H39" s="1160">
        <v>426.3</v>
      </c>
      <c r="I39" s="2154"/>
      <c r="J39" s="2314">
        <v>82.1</v>
      </c>
      <c r="K39" s="2154"/>
      <c r="L39" s="1160">
        <v>-2.2000000000000002</v>
      </c>
      <c r="M39" s="2154"/>
      <c r="N39" s="2176">
        <v>395.6</v>
      </c>
      <c r="O39" s="2154"/>
      <c r="P39" s="2176">
        <v>68.400000000000006</v>
      </c>
      <c r="Q39" s="1214"/>
      <c r="R39" s="2176"/>
      <c r="S39" s="1214"/>
      <c r="T39" s="2176"/>
      <c r="U39" s="1214"/>
      <c r="V39" s="2176"/>
      <c r="W39" s="1214"/>
      <c r="X39" s="2176"/>
      <c r="Y39" s="1214"/>
      <c r="Z39" s="2176"/>
      <c r="AA39" s="414"/>
      <c r="AB39" s="490"/>
      <c r="AC39" s="265">
        <f>ROUND(SUM(D39:Z39),1)</f>
        <v>1122</v>
      </c>
      <c r="AD39" s="2154"/>
      <c r="AE39" s="263"/>
      <c r="AF39" s="87">
        <v>1462.3</v>
      </c>
      <c r="AG39" s="2154"/>
      <c r="AH39" s="1322"/>
      <c r="AI39" s="1214">
        <f>ROUND(SUM(+AC39-AF39),1)</f>
        <v>-340.3</v>
      </c>
      <c r="AJ39" s="277"/>
      <c r="AK39" s="2040">
        <f>ROUND(IF(AF39=0,0,AI39/(AF39)),3)</f>
        <v>-0.23300000000000001</v>
      </c>
    </row>
    <row r="40" spans="1:37" s="427" customFormat="1" ht="15" customHeight="1">
      <c r="A40" s="2371"/>
      <c r="B40" s="1313" t="s">
        <v>1524</v>
      </c>
      <c r="C40" s="417"/>
      <c r="D40" s="1160">
        <v>1.3</v>
      </c>
      <c r="E40" s="1160"/>
      <c r="F40" s="1160">
        <v>2.2000000000000002</v>
      </c>
      <c r="G40" s="1160"/>
      <c r="H40" s="1160">
        <v>110</v>
      </c>
      <c r="I40" s="2154"/>
      <c r="J40" s="2314">
        <v>1.4</v>
      </c>
      <c r="K40" s="2154"/>
      <c r="L40" s="1160">
        <v>-1</v>
      </c>
      <c r="M40" s="2154"/>
      <c r="N40" s="2176">
        <v>119.1</v>
      </c>
      <c r="O40" s="2154"/>
      <c r="P40" s="2176">
        <v>2.5</v>
      </c>
      <c r="Q40" s="1214"/>
      <c r="R40" s="2176"/>
      <c r="S40" s="1214"/>
      <c r="T40" s="2176"/>
      <c r="U40" s="1214"/>
      <c r="V40" s="2176"/>
      <c r="W40" s="1214"/>
      <c r="X40" s="2176"/>
      <c r="Y40" s="1214"/>
      <c r="Z40" s="2176"/>
      <c r="AA40" s="414"/>
      <c r="AB40" s="490"/>
      <c r="AC40" s="265">
        <f>ROUND(SUM(D40:Z40),1)</f>
        <v>235.5</v>
      </c>
      <c r="AD40" s="2154"/>
      <c r="AE40" s="263"/>
      <c r="AF40" s="87">
        <v>225.8</v>
      </c>
      <c r="AG40" s="2154"/>
      <c r="AH40" s="1322"/>
      <c r="AI40" s="1214">
        <f>ROUND(SUM(+AC40-AF40),1)</f>
        <v>9.6999999999999993</v>
      </c>
      <c r="AJ40" s="277"/>
      <c r="AK40" s="2040">
        <f>ROUND(IF(AF40=0,0,AI40/(AF40)),3)</f>
        <v>4.2999999999999997E-2</v>
      </c>
    </row>
    <row r="41" spans="1:37" s="427" customFormat="1" ht="15" customHeight="1">
      <c r="A41" s="2371"/>
      <c r="B41" s="1313" t="s">
        <v>1525</v>
      </c>
      <c r="C41" s="417"/>
      <c r="D41" s="1160">
        <v>4.4000000000000004</v>
      </c>
      <c r="E41" s="1160"/>
      <c r="F41" s="1160">
        <v>4.8</v>
      </c>
      <c r="G41" s="1160"/>
      <c r="H41" s="1160">
        <v>243.9</v>
      </c>
      <c r="I41" s="2154"/>
      <c r="J41" s="2314">
        <v>6.4</v>
      </c>
      <c r="K41" s="2154"/>
      <c r="L41" s="1160">
        <v>1.1000000000000001</v>
      </c>
      <c r="M41" s="2154"/>
      <c r="N41" s="2176">
        <v>273.8</v>
      </c>
      <c r="O41" s="2154"/>
      <c r="P41" s="2176">
        <v>0</v>
      </c>
      <c r="Q41" s="1214"/>
      <c r="R41" s="2176"/>
      <c r="S41" s="1214"/>
      <c r="T41" s="2176"/>
      <c r="U41" s="1214"/>
      <c r="V41" s="2176"/>
      <c r="W41" s="1214"/>
      <c r="X41" s="2176"/>
      <c r="Y41" s="1214"/>
      <c r="Z41" s="2176"/>
      <c r="AA41" s="414"/>
      <c r="AB41" s="490"/>
      <c r="AC41" s="265">
        <f>ROUND(SUM(D41:Z41),1)</f>
        <v>534.4</v>
      </c>
      <c r="AD41" s="2154"/>
      <c r="AE41" s="263"/>
      <c r="AF41" s="87">
        <v>523.5</v>
      </c>
      <c r="AG41" s="2154"/>
      <c r="AH41" s="1322"/>
      <c r="AI41" s="1214">
        <f>ROUND(SUM(+AC41-AF41),1)</f>
        <v>10.9</v>
      </c>
      <c r="AJ41" s="277"/>
      <c r="AK41" s="2040">
        <f>ROUND(IF(AF41=0,0,AI41/(AF41)),3)</f>
        <v>2.1000000000000001E-2</v>
      </c>
    </row>
    <row r="42" spans="1:37" s="427" customFormat="1" ht="15" customHeight="1">
      <c r="A42" s="2371"/>
      <c r="B42" s="1313" t="s">
        <v>1526</v>
      </c>
      <c r="C42" s="417"/>
      <c r="D42" s="1160">
        <v>24.7</v>
      </c>
      <c r="E42" s="1160"/>
      <c r="F42" s="1160">
        <v>311.8</v>
      </c>
      <c r="G42" s="1160"/>
      <c r="H42" s="1160">
        <v>462.8</v>
      </c>
      <c r="I42" s="2154"/>
      <c r="J42" s="2314">
        <v>37.1</v>
      </c>
      <c r="K42" s="2154"/>
      <c r="L42" s="1160">
        <v>-84.7</v>
      </c>
      <c r="M42" s="2154"/>
      <c r="N42" s="2176">
        <v>151.30000000000001</v>
      </c>
      <c r="O42" s="2154"/>
      <c r="P42" s="2176">
        <v>16.100000000000001</v>
      </c>
      <c r="Q42" s="1214"/>
      <c r="R42" s="2176"/>
      <c r="S42" s="1214"/>
      <c r="T42" s="2176"/>
      <c r="U42" s="1214"/>
      <c r="V42" s="2176"/>
      <c r="W42" s="1214"/>
      <c r="X42" s="2176"/>
      <c r="Y42" s="1214"/>
      <c r="Z42" s="2176"/>
      <c r="AA42" s="414"/>
      <c r="AB42" s="490"/>
      <c r="AC42" s="265">
        <f>ROUND(SUM(D42:Z42),1)</f>
        <v>919.1</v>
      </c>
      <c r="AD42" s="2154"/>
      <c r="AE42" s="263"/>
      <c r="AF42" s="87">
        <v>455.8</v>
      </c>
      <c r="AG42" s="2154"/>
      <c r="AH42" s="1322"/>
      <c r="AI42" s="1214">
        <f>ROUND(SUM(+AC42-AF42),1)</f>
        <v>463.3</v>
      </c>
      <c r="AJ42" s="277"/>
      <c r="AK42" s="2040">
        <f>ROUND(IF(AF42=0,0,AI42/(AF42)),3)</f>
        <v>1.016</v>
      </c>
    </row>
    <row r="43" spans="1:37" s="427" customFormat="1" ht="15" customHeight="1">
      <c r="A43" s="2371"/>
      <c r="B43" s="1313" t="s">
        <v>1527</v>
      </c>
      <c r="C43" s="417"/>
      <c r="D43" s="1245">
        <v>0</v>
      </c>
      <c r="E43" s="1160"/>
      <c r="F43" s="1245">
        <v>0</v>
      </c>
      <c r="G43" s="1160"/>
      <c r="H43" s="1245">
        <v>0</v>
      </c>
      <c r="I43" s="2154"/>
      <c r="J43" s="320">
        <v>0</v>
      </c>
      <c r="K43" s="2154"/>
      <c r="L43" s="1245">
        <v>0</v>
      </c>
      <c r="M43" s="2154"/>
      <c r="N43" s="2176">
        <v>0</v>
      </c>
      <c r="O43" s="2154"/>
      <c r="P43" s="2176">
        <v>0</v>
      </c>
      <c r="Q43" s="1214"/>
      <c r="R43" s="2176"/>
      <c r="S43" s="1214"/>
      <c r="T43" s="2176"/>
      <c r="U43" s="1214"/>
      <c r="V43" s="2176"/>
      <c r="W43" s="1214"/>
      <c r="X43" s="2176"/>
      <c r="Y43" s="1214"/>
      <c r="Z43" s="2176"/>
      <c r="AA43" s="414"/>
      <c r="AB43" s="490"/>
      <c r="AC43" s="265">
        <f>ROUND(SUM(D43:Z43),1)</f>
        <v>0</v>
      </c>
      <c r="AD43" s="2154"/>
      <c r="AE43" s="263"/>
      <c r="AF43" s="2929">
        <v>0</v>
      </c>
      <c r="AG43" s="2154"/>
      <c r="AH43" s="1322"/>
      <c r="AI43" s="1214">
        <f>ROUND(SUM(+AC43-AF43),1)</f>
        <v>0</v>
      </c>
      <c r="AJ43" s="277"/>
      <c r="AK43" s="2040">
        <f>ROUND(IF(AF43=0,0,AI43/(AF43)),3)</f>
        <v>0</v>
      </c>
    </row>
    <row r="44" spans="1:37" s="427" customFormat="1" ht="15" customHeight="1">
      <c r="A44" s="2371"/>
      <c r="B44" s="594" t="s">
        <v>1522</v>
      </c>
      <c r="C44" s="417"/>
      <c r="D44" s="1327">
        <f>ROUND(SUM(D39:D43),1)</f>
        <v>148.4</v>
      </c>
      <c r="E44" s="2154"/>
      <c r="F44" s="1327">
        <f>ROUND(SUM(F39:F43),1)</f>
        <v>352.6</v>
      </c>
      <c r="G44" s="2154"/>
      <c r="H44" s="1327">
        <f>ROUND(SUM(H39:H43),1)</f>
        <v>1243</v>
      </c>
      <c r="I44" s="2154"/>
      <c r="J44" s="1327">
        <f>ROUND(SUM(J39:J43),1)</f>
        <v>127</v>
      </c>
      <c r="K44" s="2154"/>
      <c r="L44" s="1327">
        <f>ROUND(SUM(L39:L43),1)</f>
        <v>-86.8</v>
      </c>
      <c r="M44" s="2154"/>
      <c r="N44" s="1327">
        <f>ROUND(SUM(N39:N43),1)</f>
        <v>939.8</v>
      </c>
      <c r="O44" s="2154"/>
      <c r="P44" s="1327">
        <f>ROUND(SUM(P39:P43),1)</f>
        <v>87</v>
      </c>
      <c r="Q44" s="2154"/>
      <c r="R44" s="1327">
        <f>ROUND(SUM(R39:R43),1)</f>
        <v>0</v>
      </c>
      <c r="S44" s="2154"/>
      <c r="T44" s="1327">
        <f>ROUND(SUM(T39:T43),1)</f>
        <v>0</v>
      </c>
      <c r="U44" s="2154"/>
      <c r="V44" s="1327">
        <f>ROUND(SUM(V39:V43),1)</f>
        <v>0</v>
      </c>
      <c r="W44" s="2154"/>
      <c r="X44" s="1327">
        <f>ROUND(SUM(X39:X43),1)</f>
        <v>0</v>
      </c>
      <c r="Y44" s="2154"/>
      <c r="Z44" s="1327">
        <f>ROUND(SUM(Z39:Z43),1)</f>
        <v>0</v>
      </c>
      <c r="AA44" s="414"/>
      <c r="AB44" s="490"/>
      <c r="AC44" s="1327">
        <f>ROUND(SUM(AC39:AC43),1)</f>
        <v>2811</v>
      </c>
      <c r="AD44" s="2154"/>
      <c r="AE44" s="263"/>
      <c r="AF44" s="1327">
        <f>ROUND(SUM(AF39:AF43),1)</f>
        <v>2667.4</v>
      </c>
      <c r="AG44" s="2154"/>
      <c r="AH44" s="1322"/>
      <c r="AI44" s="1327">
        <f>ROUND(SUM(AI39:AI43),1)</f>
        <v>143.6</v>
      </c>
      <c r="AJ44" s="277"/>
      <c r="AK44" s="2373">
        <f>ROUND(SUM(+AI44/AF44),3)</f>
        <v>5.3999999999999999E-2</v>
      </c>
    </row>
    <row r="45" spans="1:37" s="427" customFormat="1" ht="15" customHeight="1">
      <c r="A45" s="2371"/>
      <c r="B45" s="2346" t="s">
        <v>1571</v>
      </c>
      <c r="C45" s="417"/>
      <c r="D45" s="277"/>
      <c r="E45" s="2154"/>
      <c r="F45" s="277"/>
      <c r="G45" s="2154"/>
      <c r="H45" s="277"/>
      <c r="I45" s="2154"/>
      <c r="J45" s="320"/>
      <c r="K45" s="2154"/>
      <c r="L45" s="277"/>
      <c r="M45" s="2154"/>
      <c r="N45" s="277"/>
      <c r="O45" s="2154"/>
      <c r="P45" s="277"/>
      <c r="Q45" s="2154"/>
      <c r="R45" s="277"/>
      <c r="S45" s="2154"/>
      <c r="T45" s="277"/>
      <c r="U45" s="2154"/>
      <c r="V45" s="277"/>
      <c r="W45" s="2154"/>
      <c r="X45" s="277"/>
      <c r="Y45" s="2154"/>
      <c r="Z45" s="277"/>
      <c r="AA45" s="414"/>
      <c r="AB45" s="490"/>
      <c r="AC45" s="277"/>
      <c r="AD45" s="2154"/>
      <c r="AE45" s="263"/>
      <c r="AF45" s="320"/>
      <c r="AG45" s="2154"/>
      <c r="AH45" s="1322"/>
      <c r="AI45" s="277"/>
      <c r="AJ45" s="277"/>
      <c r="AK45" s="2343"/>
    </row>
    <row r="46" spans="1:37" s="427" customFormat="1" ht="15" customHeight="1">
      <c r="A46" s="2371"/>
      <c r="B46" s="1313" t="s">
        <v>1530</v>
      </c>
      <c r="C46" s="417"/>
      <c r="D46" s="1245">
        <v>0</v>
      </c>
      <c r="E46" s="1160"/>
      <c r="F46" s="1245">
        <v>0</v>
      </c>
      <c r="G46" s="1160"/>
      <c r="H46" s="1245">
        <v>0</v>
      </c>
      <c r="I46" s="2154"/>
      <c r="J46" s="320">
        <v>0</v>
      </c>
      <c r="K46" s="2154"/>
      <c r="L46" s="1245">
        <v>0</v>
      </c>
      <c r="M46" s="2154"/>
      <c r="N46" s="2176">
        <v>0</v>
      </c>
      <c r="O46" s="2154"/>
      <c r="P46" s="277">
        <v>0</v>
      </c>
      <c r="Q46" s="2154"/>
      <c r="R46" s="277"/>
      <c r="S46" s="2154"/>
      <c r="T46" s="277"/>
      <c r="U46" s="2154"/>
      <c r="V46" s="277"/>
      <c r="W46" s="2154"/>
      <c r="X46" s="277"/>
      <c r="Y46" s="2154"/>
      <c r="Z46" s="277"/>
      <c r="AA46" s="414"/>
      <c r="AB46" s="490"/>
      <c r="AC46" s="265">
        <f t="shared" ref="AC46:AC51" si="3">ROUND(SUM(D46:Z46),1)</f>
        <v>0</v>
      </c>
      <c r="AD46" s="2154"/>
      <c r="AE46" s="263"/>
      <c r="AF46" s="2928">
        <v>-0.2</v>
      </c>
      <c r="AG46" s="2154"/>
      <c r="AH46" s="1322"/>
      <c r="AI46" s="1214">
        <f t="shared" ref="AI46:AI51" si="4">ROUND(SUM(+AC46-AF46),1)</f>
        <v>0.2</v>
      </c>
      <c r="AJ46" s="277"/>
      <c r="AK46" s="3249">
        <f>-ROUND(IF(AF46=0,0,AI46/(AF46)),3)</f>
        <v>1</v>
      </c>
    </row>
    <row r="47" spans="1:37" s="427" customFormat="1" ht="15" customHeight="1">
      <c r="A47" s="2371"/>
      <c r="B47" s="1313" t="s">
        <v>1531</v>
      </c>
      <c r="C47" s="417"/>
      <c r="D47" s="1160">
        <v>83.7</v>
      </c>
      <c r="E47" s="1160"/>
      <c r="F47" s="1160">
        <v>119.4</v>
      </c>
      <c r="G47" s="1160"/>
      <c r="H47" s="1160">
        <v>67.8</v>
      </c>
      <c r="I47" s="2154"/>
      <c r="J47" s="2314">
        <v>96.7</v>
      </c>
      <c r="K47" s="2154"/>
      <c r="L47" s="1160">
        <v>89</v>
      </c>
      <c r="M47" s="2154"/>
      <c r="N47" s="2176">
        <v>104.9</v>
      </c>
      <c r="O47" s="2154"/>
      <c r="P47" s="2176">
        <v>104.4</v>
      </c>
      <c r="Q47" s="2154"/>
      <c r="R47" s="277"/>
      <c r="S47" s="2154"/>
      <c r="T47" s="277"/>
      <c r="U47" s="2154"/>
      <c r="V47" s="277"/>
      <c r="W47" s="2154"/>
      <c r="X47" s="277"/>
      <c r="Y47" s="2154"/>
      <c r="Z47" s="277"/>
      <c r="AA47" s="414"/>
      <c r="AB47" s="490"/>
      <c r="AC47" s="265">
        <f t="shared" si="3"/>
        <v>665.9</v>
      </c>
      <c r="AD47" s="2154"/>
      <c r="AE47" s="263"/>
      <c r="AF47" s="87">
        <v>791.6</v>
      </c>
      <c r="AG47" s="2154"/>
      <c r="AH47" s="1322"/>
      <c r="AI47" s="1214">
        <f t="shared" si="4"/>
        <v>-125.7</v>
      </c>
      <c r="AJ47" s="277"/>
      <c r="AK47" s="2040">
        <f>ROUND(IF(AF47=0,0,AI47/(AF47)),3)</f>
        <v>-0.159</v>
      </c>
    </row>
    <row r="48" spans="1:37" s="427" customFormat="1" ht="15" customHeight="1">
      <c r="A48" s="2371"/>
      <c r="B48" s="1313" t="s">
        <v>1532</v>
      </c>
      <c r="C48" s="417"/>
      <c r="D48" s="1160">
        <v>1</v>
      </c>
      <c r="E48" s="1160"/>
      <c r="F48" s="1160">
        <v>1.5</v>
      </c>
      <c r="G48" s="1160"/>
      <c r="H48" s="1160">
        <v>2.1</v>
      </c>
      <c r="I48" s="2154"/>
      <c r="J48" s="2314">
        <v>1.4</v>
      </c>
      <c r="K48" s="2154"/>
      <c r="L48" s="1160">
        <v>2.7</v>
      </c>
      <c r="M48" s="2154"/>
      <c r="N48" s="2176">
        <v>2.2999999999999998</v>
      </c>
      <c r="O48" s="2154"/>
      <c r="P48" s="2176">
        <v>1.4</v>
      </c>
      <c r="Q48" s="2154"/>
      <c r="R48" s="277"/>
      <c r="S48" s="2154"/>
      <c r="T48" s="277"/>
      <c r="U48" s="2154"/>
      <c r="V48" s="277"/>
      <c r="W48" s="2154"/>
      <c r="X48" s="277"/>
      <c r="Y48" s="2154"/>
      <c r="Z48" s="277"/>
      <c r="AA48" s="414"/>
      <c r="AB48" s="490"/>
      <c r="AC48" s="265">
        <f t="shared" si="3"/>
        <v>12.4</v>
      </c>
      <c r="AD48" s="2154"/>
      <c r="AE48" s="263"/>
      <c r="AF48" s="87">
        <v>11</v>
      </c>
      <c r="AG48" s="2154"/>
      <c r="AH48" s="1322"/>
      <c r="AI48" s="1214">
        <f t="shared" si="4"/>
        <v>1.4</v>
      </c>
      <c r="AJ48" s="277"/>
      <c r="AK48" s="2040">
        <f>ROUND(IF(AF48=0,0,AI48/(AF48)),3)</f>
        <v>0.127</v>
      </c>
    </row>
    <row r="49" spans="1:37" s="427" customFormat="1" ht="15" customHeight="1">
      <c r="A49" s="2371"/>
      <c r="B49" s="1313" t="s">
        <v>1533</v>
      </c>
      <c r="C49" s="417"/>
      <c r="D49" s="1245">
        <v>0</v>
      </c>
      <c r="E49" s="1160"/>
      <c r="F49" s="1245">
        <v>0</v>
      </c>
      <c r="G49" s="1160"/>
      <c r="H49" s="1245">
        <v>0</v>
      </c>
      <c r="I49" s="2154"/>
      <c r="J49" s="2314">
        <v>0</v>
      </c>
      <c r="K49" s="2154"/>
      <c r="L49" s="1245">
        <v>0</v>
      </c>
      <c r="M49" s="2154"/>
      <c r="N49" s="2176">
        <v>0</v>
      </c>
      <c r="O49" s="2154"/>
      <c r="P49" s="2176">
        <v>0</v>
      </c>
      <c r="Q49" s="2154"/>
      <c r="R49" s="277"/>
      <c r="S49" s="2154"/>
      <c r="T49" s="277"/>
      <c r="U49" s="2154"/>
      <c r="V49" s="277"/>
      <c r="W49" s="2154"/>
      <c r="X49" s="277"/>
      <c r="Y49" s="2154"/>
      <c r="Z49" s="277"/>
      <c r="AA49" s="414"/>
      <c r="AB49" s="490"/>
      <c r="AC49" s="265">
        <f t="shared" si="3"/>
        <v>0</v>
      </c>
      <c r="AD49" s="2154"/>
      <c r="AE49" s="263"/>
      <c r="AF49" s="2928">
        <v>0</v>
      </c>
      <c r="AG49" s="2154"/>
      <c r="AH49" s="1322"/>
      <c r="AI49" s="1214">
        <f t="shared" si="4"/>
        <v>0</v>
      </c>
      <c r="AJ49" s="277"/>
      <c r="AK49" s="2040">
        <f>ROUND(IF(AF49=0,0,AI49/(AF49)),3)</f>
        <v>0</v>
      </c>
    </row>
    <row r="50" spans="1:37" s="427" customFormat="1" ht="15" customHeight="1">
      <c r="A50" s="2371"/>
      <c r="B50" s="1313" t="s">
        <v>1534</v>
      </c>
      <c r="C50" s="417"/>
      <c r="D50" s="1245">
        <v>0.1</v>
      </c>
      <c r="E50" s="1160"/>
      <c r="F50" s="1245">
        <v>0</v>
      </c>
      <c r="G50" s="1160"/>
      <c r="H50" s="1245">
        <v>0</v>
      </c>
      <c r="I50" s="2154"/>
      <c r="J50" s="2314">
        <v>0.2</v>
      </c>
      <c r="K50" s="2154"/>
      <c r="L50" s="1245">
        <v>0.2</v>
      </c>
      <c r="M50" s="2154"/>
      <c r="N50" s="2176">
        <v>0</v>
      </c>
      <c r="O50" s="2154"/>
      <c r="P50" s="2176">
        <v>0.1</v>
      </c>
      <c r="Q50" s="2154"/>
      <c r="R50" s="277"/>
      <c r="S50" s="2154"/>
      <c r="T50" s="277"/>
      <c r="U50" s="2154"/>
      <c r="V50" s="277"/>
      <c r="W50" s="2154"/>
      <c r="X50" s="277"/>
      <c r="Y50" s="2154"/>
      <c r="Z50" s="277"/>
      <c r="AA50" s="414"/>
      <c r="AB50" s="490"/>
      <c r="AC50" s="265">
        <f t="shared" si="3"/>
        <v>0.6</v>
      </c>
      <c r="AD50" s="2154"/>
      <c r="AE50" s="263"/>
      <c r="AF50" s="2930">
        <v>0.8</v>
      </c>
      <c r="AG50" s="2154"/>
      <c r="AH50" s="1322"/>
      <c r="AI50" s="1214">
        <f t="shared" si="4"/>
        <v>-0.2</v>
      </c>
      <c r="AJ50" s="277"/>
      <c r="AK50" s="2040">
        <f>ROUND(IF(AF50=0,0,AI50/(AF50)),3)</f>
        <v>-0.25</v>
      </c>
    </row>
    <row r="51" spans="1:37" s="427" customFormat="1" ht="15" customHeight="1">
      <c r="A51" s="2371"/>
      <c r="B51" s="2386" t="s">
        <v>1535</v>
      </c>
      <c r="C51" s="417"/>
      <c r="D51" s="1245">
        <v>0</v>
      </c>
      <c r="E51" s="1160"/>
      <c r="F51" s="1245">
        <v>0</v>
      </c>
      <c r="G51" s="1160"/>
      <c r="H51" s="1245">
        <v>0</v>
      </c>
      <c r="I51" s="2154"/>
      <c r="J51" s="2314">
        <v>0</v>
      </c>
      <c r="K51" s="2154"/>
      <c r="L51" s="1245">
        <v>0</v>
      </c>
      <c r="M51" s="2154"/>
      <c r="N51" s="2176">
        <v>0</v>
      </c>
      <c r="O51" s="2154"/>
      <c r="P51" s="2176">
        <v>0</v>
      </c>
      <c r="Q51" s="2154"/>
      <c r="R51" s="277"/>
      <c r="S51" s="2154"/>
      <c r="T51" s="277"/>
      <c r="U51" s="2154"/>
      <c r="V51" s="277"/>
      <c r="W51" s="2154"/>
      <c r="X51" s="277"/>
      <c r="Y51" s="2154"/>
      <c r="Z51" s="277"/>
      <c r="AA51" s="414"/>
      <c r="AB51" s="490"/>
      <c r="AC51" s="265">
        <f t="shared" si="3"/>
        <v>0</v>
      </c>
      <c r="AD51" s="2154"/>
      <c r="AE51" s="263"/>
      <c r="AF51" s="2929">
        <v>0</v>
      </c>
      <c r="AG51" s="2154"/>
      <c r="AH51" s="1322"/>
      <c r="AI51" s="1214">
        <f t="shared" si="4"/>
        <v>0</v>
      </c>
      <c r="AJ51" s="277"/>
      <c r="AK51" s="2040">
        <f>ROUND(IF(AF51=0,0,AI51/(AF51)),3)</f>
        <v>0</v>
      </c>
    </row>
    <row r="52" spans="1:37" s="427" customFormat="1" ht="15" customHeight="1">
      <c r="A52" s="2371"/>
      <c r="B52" s="594" t="s">
        <v>1528</v>
      </c>
      <c r="C52" s="417"/>
      <c r="D52" s="1327">
        <f>ROUND(SUM(D46:D51),1)</f>
        <v>84.8</v>
      </c>
      <c r="E52" s="2154"/>
      <c r="F52" s="1327">
        <f>ROUND(SUM(F46:F51),1)</f>
        <v>120.9</v>
      </c>
      <c r="G52" s="2154"/>
      <c r="H52" s="1327">
        <f>ROUND(SUM(H46:H51),1)</f>
        <v>69.900000000000006</v>
      </c>
      <c r="I52" s="2154"/>
      <c r="J52" s="1327">
        <f>ROUND(SUM(J46:J51),1)</f>
        <v>98.3</v>
      </c>
      <c r="K52" s="2154"/>
      <c r="L52" s="1327">
        <f>ROUND(SUM(L46:L51),1)</f>
        <v>91.9</v>
      </c>
      <c r="M52" s="2154"/>
      <c r="N52" s="1327">
        <f>ROUND(SUM(N46:N51),1)</f>
        <v>107.2</v>
      </c>
      <c r="O52" s="2154"/>
      <c r="P52" s="1327">
        <f>ROUND(SUM(P46:P51),1)</f>
        <v>105.9</v>
      </c>
      <c r="Q52" s="2154"/>
      <c r="R52" s="1327">
        <f>ROUND(SUM(R46:R51),1)</f>
        <v>0</v>
      </c>
      <c r="S52" s="2154"/>
      <c r="T52" s="1327">
        <f>ROUND(SUM(T46:T51),1)</f>
        <v>0</v>
      </c>
      <c r="U52" s="2154"/>
      <c r="V52" s="1327">
        <f>ROUND(SUM(V46:V51),1)</f>
        <v>0</v>
      </c>
      <c r="W52" s="2154"/>
      <c r="X52" s="1327">
        <f>ROUND(SUM(X46:X51),1)</f>
        <v>0</v>
      </c>
      <c r="Y52" s="2154"/>
      <c r="Z52" s="1327">
        <f>ROUND(SUM(Z46:Z51),1)</f>
        <v>0</v>
      </c>
      <c r="AA52" s="414"/>
      <c r="AB52" s="490"/>
      <c r="AC52" s="1327">
        <f>ROUND(SUM(AC46:AC51),1)</f>
        <v>678.9</v>
      </c>
      <c r="AD52" s="2154"/>
      <c r="AE52" s="263"/>
      <c r="AF52" s="1327">
        <f>ROUND(SUM(AF46:AF51),1)</f>
        <v>803.2</v>
      </c>
      <c r="AG52" s="2154"/>
      <c r="AH52" s="1322"/>
      <c r="AI52" s="1327">
        <f>ROUND(SUM(AI46:AI51),1)</f>
        <v>-124.3</v>
      </c>
      <c r="AJ52" s="277"/>
      <c r="AK52" s="2373">
        <f>ROUND(SUM(+AI52/AF52),3)</f>
        <v>-0.155</v>
      </c>
    </row>
    <row r="53" spans="1:37" s="427" customFormat="1" ht="15" customHeight="1">
      <c r="A53" s="2371"/>
      <c r="B53" s="594"/>
      <c r="C53" s="417"/>
      <c r="D53" s="277"/>
      <c r="E53" s="2154"/>
      <c r="F53" s="277"/>
      <c r="G53" s="277"/>
      <c r="H53" s="277"/>
      <c r="I53" s="277"/>
      <c r="J53" s="320"/>
      <c r="K53" s="277"/>
      <c r="L53" s="277"/>
      <c r="M53" s="277"/>
      <c r="N53" s="277"/>
      <c r="O53" s="277"/>
      <c r="P53" s="277"/>
      <c r="Q53" s="277"/>
      <c r="R53" s="277"/>
      <c r="S53" s="277"/>
      <c r="T53" s="277"/>
      <c r="U53" s="277"/>
      <c r="V53" s="277"/>
      <c r="W53" s="277"/>
      <c r="X53" s="320"/>
      <c r="Y53" s="277"/>
      <c r="Z53" s="277"/>
      <c r="AA53" s="414"/>
      <c r="AB53" s="490"/>
      <c r="AC53" s="277"/>
      <c r="AD53" s="2154"/>
      <c r="AE53" s="263"/>
      <c r="AF53" s="320"/>
      <c r="AG53" s="2154"/>
      <c r="AH53" s="1322"/>
      <c r="AI53" s="277"/>
      <c r="AJ53" s="277"/>
      <c r="AK53" s="2343"/>
    </row>
    <row r="54" spans="1:37" ht="15" customHeight="1">
      <c r="A54" s="357"/>
      <c r="B54" s="594" t="s">
        <v>1529</v>
      </c>
      <c r="C54" s="226"/>
      <c r="D54" s="631">
        <f>ROUND(SUM(D28+D37+D44+D52),1)</f>
        <v>4754.7</v>
      </c>
      <c r="E54" s="265"/>
      <c r="F54" s="631">
        <f>ROUND(SUM(F28+F37+F44+F52),1)</f>
        <v>2557.1</v>
      </c>
      <c r="G54" s="265"/>
      <c r="H54" s="631">
        <f>ROUND(SUM(H28+H37+H44+H52),1)</f>
        <v>4728.6000000000004</v>
      </c>
      <c r="I54" s="265"/>
      <c r="J54" s="631">
        <f>ROUND(SUM(J28+J37+J44+J52),1)</f>
        <v>2676</v>
      </c>
      <c r="K54" s="265"/>
      <c r="L54" s="631">
        <f>ROUND(SUM(L28+L37+L44+L52),1)</f>
        <v>2318</v>
      </c>
      <c r="M54" s="265"/>
      <c r="N54" s="631">
        <f>ROUND(SUM(N28+N37+N44+N52),1)</f>
        <v>4690.8999999999996</v>
      </c>
      <c r="O54" s="265"/>
      <c r="P54" s="631">
        <f>ROUND(SUM(P28+P37+P44+P52),1)</f>
        <v>2569.9</v>
      </c>
      <c r="Q54" s="265"/>
      <c r="R54" s="631">
        <f>ROUND(SUM(R28+R37+R44+R52),1)</f>
        <v>0</v>
      </c>
      <c r="S54" s="265"/>
      <c r="T54" s="631">
        <f>ROUND(SUM(T28+T37+T44+T52),1)</f>
        <v>0</v>
      </c>
      <c r="U54" s="265"/>
      <c r="V54" s="631">
        <f>ROUND(SUM(V28+V37+V44+V52),1)</f>
        <v>0</v>
      </c>
      <c r="W54" s="265"/>
      <c r="X54" s="631">
        <f>ROUND(SUM(X28+X37+X44+X52),1)</f>
        <v>0</v>
      </c>
      <c r="Y54" s="265"/>
      <c r="Z54" s="631">
        <f>ROUND(SUM(Z28+Z37+Z44+Z52),1)</f>
        <v>0</v>
      </c>
      <c r="AA54" s="372"/>
      <c r="AB54" s="241"/>
      <c r="AC54" s="631">
        <f>ROUND(SUM(AC28+AC37+AC44+AC52),1)</f>
        <v>24295.200000000001</v>
      </c>
      <c r="AD54" s="265"/>
      <c r="AE54" s="254"/>
      <c r="AF54" s="631">
        <f>ROUND(SUM(AF28+AF37+AF44+AF52),1)</f>
        <v>24665.8</v>
      </c>
      <c r="AG54" s="265"/>
      <c r="AH54" s="1320"/>
      <c r="AI54" s="631">
        <f>ROUND(SUM(AI28+AI37+AI44+AI52),1)</f>
        <v>-370.6</v>
      </c>
      <c r="AJ54" s="2176"/>
      <c r="AK54" s="530">
        <f>ROUND(SUM(+AI54/AF54),3)</f>
        <v>-1.4999999999999999E-2</v>
      </c>
    </row>
    <row r="55" spans="1:37" ht="8.25" customHeight="1">
      <c r="A55" s="357"/>
      <c r="B55" s="1407"/>
      <c r="C55" s="226"/>
      <c r="D55" s="265"/>
      <c r="E55" s="265"/>
      <c r="F55" s="265"/>
      <c r="G55" s="265"/>
      <c r="H55" s="265"/>
      <c r="I55" s="265"/>
      <c r="J55" s="323"/>
      <c r="K55" s="265"/>
      <c r="L55" s="265"/>
      <c r="M55" s="265"/>
      <c r="N55" s="265"/>
      <c r="O55" s="265"/>
      <c r="P55" s="265"/>
      <c r="Q55" s="265"/>
      <c r="R55" s="265"/>
      <c r="S55" s="265"/>
      <c r="T55" s="265"/>
      <c r="U55" s="265"/>
      <c r="V55" s="265"/>
      <c r="W55" s="265"/>
      <c r="X55" s="265"/>
      <c r="Y55" s="265"/>
      <c r="Z55" s="265"/>
      <c r="AA55" s="372"/>
      <c r="AB55" s="241"/>
      <c r="AC55" s="265"/>
      <c r="AD55" s="265"/>
      <c r="AE55" s="254"/>
      <c r="AF55" s="323"/>
      <c r="AG55" s="265"/>
      <c r="AH55" s="1320"/>
      <c r="AI55" s="1214"/>
      <c r="AJ55" s="2176"/>
      <c r="AK55" s="2201"/>
    </row>
    <row r="56" spans="1:37" ht="15" customHeight="1">
      <c r="A56" s="357"/>
      <c r="B56" s="495" t="s">
        <v>1428</v>
      </c>
      <c r="C56" s="1977"/>
      <c r="D56" s="1214"/>
      <c r="E56" s="1216"/>
      <c r="F56" s="265"/>
      <c r="G56" s="1216"/>
      <c r="H56" s="265"/>
      <c r="I56" s="265"/>
      <c r="J56" s="323"/>
      <c r="K56" s="265"/>
      <c r="L56" s="265"/>
      <c r="M56" s="265"/>
      <c r="N56" s="265"/>
      <c r="O56" s="265"/>
      <c r="P56" s="265"/>
      <c r="Q56" s="265"/>
      <c r="R56" s="265"/>
      <c r="S56" s="265"/>
      <c r="T56" s="265"/>
      <c r="U56" s="265"/>
      <c r="V56" s="265"/>
      <c r="W56" s="265"/>
      <c r="X56" s="265"/>
      <c r="Y56" s="265"/>
      <c r="Z56" s="265"/>
      <c r="AA56" s="372"/>
      <c r="AB56" s="241"/>
      <c r="AC56" s="265"/>
      <c r="AD56" s="265"/>
      <c r="AE56" s="254"/>
      <c r="AF56" s="323"/>
      <c r="AG56" s="265"/>
      <c r="AH56" s="1320"/>
      <c r="AI56" s="1214"/>
      <c r="AJ56" s="2176"/>
      <c r="AK56" s="2201"/>
    </row>
    <row r="57" spans="1:37" ht="15" customHeight="1">
      <c r="A57" s="357"/>
      <c r="B57" s="1979" t="s">
        <v>1561</v>
      </c>
      <c r="C57" s="1977"/>
      <c r="D57" s="1214"/>
      <c r="E57" s="1216"/>
      <c r="F57" s="265"/>
      <c r="G57" s="1216"/>
      <c r="H57" s="265"/>
      <c r="I57" s="265"/>
      <c r="J57" s="323"/>
      <c r="K57" s="265"/>
      <c r="L57" s="265"/>
      <c r="M57" s="265"/>
      <c r="N57" s="265"/>
      <c r="O57" s="265"/>
      <c r="P57" s="265"/>
      <c r="Q57" s="265"/>
      <c r="R57" s="265"/>
      <c r="S57" s="265"/>
      <c r="T57" s="265"/>
      <c r="U57" s="265"/>
      <c r="V57" s="265"/>
      <c r="W57" s="265"/>
      <c r="X57" s="265"/>
      <c r="Y57" s="265"/>
      <c r="Z57" s="265"/>
      <c r="AA57" s="372"/>
      <c r="AB57" s="241"/>
      <c r="AC57" s="265"/>
      <c r="AD57" s="265"/>
      <c r="AE57" s="254"/>
      <c r="AF57" s="1982" t="s">
        <v>194</v>
      </c>
      <c r="AG57" s="265"/>
      <c r="AH57" s="1320"/>
      <c r="AI57" s="1214"/>
      <c r="AJ57" s="2176"/>
      <c r="AK57" s="2201"/>
    </row>
    <row r="58" spans="1:37" ht="15" customHeight="1">
      <c r="A58" s="357"/>
      <c r="B58" s="1979" t="s">
        <v>1426</v>
      </c>
      <c r="C58" s="1979"/>
      <c r="D58" s="1214">
        <v>0.8</v>
      </c>
      <c r="E58" s="1216"/>
      <c r="F58" s="1214">
        <v>0</v>
      </c>
      <c r="G58" s="1216"/>
      <c r="H58" s="265">
        <v>-0.1</v>
      </c>
      <c r="I58" s="265"/>
      <c r="J58" s="323">
        <v>0.1</v>
      </c>
      <c r="K58" s="265"/>
      <c r="L58" s="265">
        <v>-0.1</v>
      </c>
      <c r="M58" s="265"/>
      <c r="N58" s="265">
        <v>0.1</v>
      </c>
      <c r="O58" s="265"/>
      <c r="P58" s="265">
        <v>94.2</v>
      </c>
      <c r="Q58" s="265"/>
      <c r="R58" s="265"/>
      <c r="S58" s="265"/>
      <c r="T58" s="265"/>
      <c r="U58" s="265"/>
      <c r="V58" s="265"/>
      <c r="W58" s="265"/>
      <c r="X58" s="265"/>
      <c r="Y58" s="265"/>
      <c r="Z58" s="265"/>
      <c r="AA58" s="372"/>
      <c r="AB58" s="241"/>
      <c r="AC58" s="265">
        <f t="shared" ref="AC58:AC87" si="5">ROUND(SUM(D58:Z58),1)</f>
        <v>95</v>
      </c>
      <c r="AD58" s="265"/>
      <c r="AE58" s="254"/>
      <c r="AF58" s="1982">
        <v>71.900000000000006</v>
      </c>
      <c r="AG58" s="265"/>
      <c r="AH58" s="1320"/>
      <c r="AI58" s="1214">
        <f>ROUND(SUM(+AC58-AF58),1)</f>
        <v>23.1</v>
      </c>
      <c r="AJ58" s="2176"/>
      <c r="AK58" s="2040">
        <f>ROUND(IF(AF58=0,0,AI58/(AF58)),3)</f>
        <v>0.32100000000000001</v>
      </c>
    </row>
    <row r="59" spans="1:37" ht="15" customHeight="1">
      <c r="A59" s="357"/>
      <c r="B59" s="1979" t="s">
        <v>1427</v>
      </c>
      <c r="C59" s="1979"/>
      <c r="D59" s="1214">
        <v>0.1</v>
      </c>
      <c r="E59" s="1216"/>
      <c r="F59" s="265">
        <v>0</v>
      </c>
      <c r="G59" s="1216"/>
      <c r="H59" s="323">
        <v>14.5</v>
      </c>
      <c r="I59" s="265"/>
      <c r="J59" s="323">
        <v>-7.9</v>
      </c>
      <c r="K59" s="265"/>
      <c r="L59" s="265">
        <v>0.2</v>
      </c>
      <c r="M59" s="265"/>
      <c r="N59" s="265">
        <v>30.5</v>
      </c>
      <c r="O59" s="265"/>
      <c r="P59" s="265">
        <v>0.3</v>
      </c>
      <c r="Q59" s="265"/>
      <c r="R59" s="265"/>
      <c r="S59" s="265"/>
      <c r="T59" s="265"/>
      <c r="U59" s="265"/>
      <c r="V59" s="265"/>
      <c r="W59" s="265"/>
      <c r="X59" s="265"/>
      <c r="Y59" s="265"/>
      <c r="Z59" s="265"/>
      <c r="AA59" s="372"/>
      <c r="AB59" s="241"/>
      <c r="AC59" s="265">
        <f t="shared" si="5"/>
        <v>37.700000000000003</v>
      </c>
      <c r="AD59" s="265"/>
      <c r="AE59" s="254"/>
      <c r="AF59" s="323">
        <v>54</v>
      </c>
      <c r="AG59" s="265"/>
      <c r="AH59" s="1320"/>
      <c r="AI59" s="1214">
        <f>ROUND(SUM(+AC59-AF59),1)</f>
        <v>-16.3</v>
      </c>
      <c r="AJ59" s="2176"/>
      <c r="AK59" s="2040">
        <f>ROUND(IF(AF59=0,0,AI59/(AF59)),3)</f>
        <v>-0.30199999999999999</v>
      </c>
    </row>
    <row r="60" spans="1:37" ht="15" customHeight="1">
      <c r="A60" s="357"/>
      <c r="B60" s="1979" t="s">
        <v>1562</v>
      </c>
      <c r="C60" s="1979"/>
      <c r="D60" s="1214"/>
      <c r="E60" s="1216"/>
      <c r="F60" s="265"/>
      <c r="G60" s="1216"/>
      <c r="H60" s="265"/>
      <c r="I60" s="265"/>
      <c r="J60" s="323"/>
      <c r="K60" s="265"/>
      <c r="L60" s="265"/>
      <c r="M60" s="265"/>
      <c r="N60" s="265"/>
      <c r="O60" s="265"/>
      <c r="P60" s="265"/>
      <c r="Q60" s="265"/>
      <c r="R60" s="265"/>
      <c r="S60" s="265"/>
      <c r="T60" s="265"/>
      <c r="U60" s="265"/>
      <c r="V60" s="265"/>
      <c r="W60" s="265"/>
      <c r="X60" s="265"/>
      <c r="Y60" s="265"/>
      <c r="Z60" s="265"/>
      <c r="AA60" s="372"/>
      <c r="AB60" s="241"/>
      <c r="AC60" s="265"/>
      <c r="AD60" s="265"/>
      <c r="AE60" s="254"/>
      <c r="AF60" s="323"/>
      <c r="AG60" s="265"/>
      <c r="AH60" s="1320"/>
      <c r="AI60" s="1214"/>
      <c r="AJ60" s="2176"/>
      <c r="AK60" s="2201"/>
    </row>
    <row r="61" spans="1:37" ht="15" customHeight="1">
      <c r="A61" s="357"/>
      <c r="B61" s="1979" t="s">
        <v>1431</v>
      </c>
      <c r="C61" s="1979"/>
      <c r="D61" s="1214">
        <v>0</v>
      </c>
      <c r="E61" s="1216"/>
      <c r="F61" s="265">
        <v>1000</v>
      </c>
      <c r="G61" s="1216"/>
      <c r="H61" s="265">
        <v>0</v>
      </c>
      <c r="I61" s="265"/>
      <c r="J61" s="323">
        <v>0</v>
      </c>
      <c r="K61" s="265"/>
      <c r="L61" s="265">
        <v>0</v>
      </c>
      <c r="M61" s="265"/>
      <c r="N61" s="265">
        <v>0</v>
      </c>
      <c r="O61" s="265"/>
      <c r="P61" s="265">
        <v>0</v>
      </c>
      <c r="Q61" s="265"/>
      <c r="R61" s="265"/>
      <c r="S61" s="265"/>
      <c r="T61" s="265"/>
      <c r="U61" s="265"/>
      <c r="V61" s="265"/>
      <c r="W61" s="265"/>
      <c r="X61" s="265"/>
      <c r="Y61" s="265"/>
      <c r="Z61" s="265"/>
      <c r="AA61" s="372"/>
      <c r="AB61" s="241"/>
      <c r="AC61" s="265">
        <f t="shared" si="5"/>
        <v>1000</v>
      </c>
      <c r="AD61" s="265"/>
      <c r="AE61" s="254"/>
      <c r="AF61" s="323">
        <v>250</v>
      </c>
      <c r="AG61" s="265"/>
      <c r="AH61" s="1320"/>
      <c r="AI61" s="1214">
        <f>ROUND(SUM(+AC61-AF61),1)</f>
        <v>750</v>
      </c>
      <c r="AJ61" s="2176"/>
      <c r="AK61" s="2040">
        <f>ROUND(IF(AF61=0,0,AI61/(AF61)),3)</f>
        <v>3</v>
      </c>
    </row>
    <row r="62" spans="1:37" ht="15" customHeight="1">
      <c r="A62" s="357"/>
      <c r="B62" s="1979" t="s">
        <v>1432</v>
      </c>
      <c r="C62" s="1979"/>
      <c r="D62" s="1214">
        <v>8.5</v>
      </c>
      <c r="E62" s="1216"/>
      <c r="F62" s="265">
        <v>3.8</v>
      </c>
      <c r="G62" s="1216"/>
      <c r="H62" s="265">
        <v>9.6999999999999993</v>
      </c>
      <c r="I62" s="265"/>
      <c r="J62" s="323">
        <v>0</v>
      </c>
      <c r="K62" s="265"/>
      <c r="L62" s="265">
        <v>8.5</v>
      </c>
      <c r="M62" s="265"/>
      <c r="N62" s="265">
        <v>9.6</v>
      </c>
      <c r="O62" s="265"/>
      <c r="P62" s="265">
        <v>3.8</v>
      </c>
      <c r="Q62" s="265"/>
      <c r="R62" s="265"/>
      <c r="S62" s="265"/>
      <c r="T62" s="265"/>
      <c r="U62" s="265"/>
      <c r="V62" s="265"/>
      <c r="W62" s="265"/>
      <c r="X62" s="265"/>
      <c r="Y62" s="265"/>
      <c r="Z62" s="265"/>
      <c r="AA62" s="372"/>
      <c r="AB62" s="241"/>
      <c r="AC62" s="265">
        <f t="shared" si="5"/>
        <v>43.9</v>
      </c>
      <c r="AD62" s="265"/>
      <c r="AE62" s="254"/>
      <c r="AF62" s="323">
        <v>48.1</v>
      </c>
      <c r="AG62" s="265"/>
      <c r="AH62" s="1320"/>
      <c r="AI62" s="1214">
        <f>ROUND(SUM(+AC62-AF62),1)</f>
        <v>-4.2</v>
      </c>
      <c r="AJ62" s="2176"/>
      <c r="AK62" s="2040">
        <f>ROUND(IF(AF62=0,0,AI62/(AF62)),3)</f>
        <v>-8.6999999999999994E-2</v>
      </c>
    </row>
    <row r="63" spans="1:37" ht="15" customHeight="1">
      <c r="A63" s="357"/>
      <c r="B63" s="1979" t="s">
        <v>1433</v>
      </c>
      <c r="C63" s="1979"/>
      <c r="D63" s="1214">
        <v>0</v>
      </c>
      <c r="E63" s="1216"/>
      <c r="F63" s="1214">
        <v>0</v>
      </c>
      <c r="G63" s="1216"/>
      <c r="H63" s="265">
        <v>0</v>
      </c>
      <c r="I63" s="265"/>
      <c r="J63" s="323">
        <v>0</v>
      </c>
      <c r="K63" s="265"/>
      <c r="L63" s="265">
        <v>0</v>
      </c>
      <c r="M63" s="265"/>
      <c r="N63" s="265">
        <v>167.2</v>
      </c>
      <c r="O63" s="265"/>
      <c r="P63" s="265">
        <v>0</v>
      </c>
      <c r="Q63" s="265"/>
      <c r="R63" s="265"/>
      <c r="S63" s="265"/>
      <c r="T63" s="265"/>
      <c r="U63" s="265"/>
      <c r="V63" s="265"/>
      <c r="W63" s="265"/>
      <c r="X63" s="265"/>
      <c r="Y63" s="265"/>
      <c r="Z63" s="265"/>
      <c r="AA63" s="372"/>
      <c r="AB63" s="241"/>
      <c r="AC63" s="265">
        <f t="shared" si="5"/>
        <v>167.2</v>
      </c>
      <c r="AD63" s="265"/>
      <c r="AE63" s="254"/>
      <c r="AF63" s="3088">
        <v>215.9</v>
      </c>
      <c r="AG63" s="265"/>
      <c r="AH63" s="1320"/>
      <c r="AI63" s="1214">
        <f>ROUND(SUM(+AC63-AF63),1)</f>
        <v>-48.7</v>
      </c>
      <c r="AJ63" s="2176"/>
      <c r="AK63" s="2040">
        <f>ROUND(IF(AF63=0,0,AI63/(AF63)),3)</f>
        <v>-0.22600000000000001</v>
      </c>
    </row>
    <row r="64" spans="1:37" ht="15" customHeight="1">
      <c r="A64" s="357"/>
      <c r="B64" s="1979" t="s">
        <v>1434</v>
      </c>
      <c r="C64" s="1979"/>
      <c r="D64" s="1214">
        <v>0</v>
      </c>
      <c r="E64" s="1216"/>
      <c r="F64" s="265">
        <v>0.1</v>
      </c>
      <c r="G64" s="1216"/>
      <c r="H64" s="265">
        <v>0</v>
      </c>
      <c r="I64" s="265"/>
      <c r="J64" s="323">
        <v>0</v>
      </c>
      <c r="K64" s="265"/>
      <c r="L64" s="265">
        <v>0.1</v>
      </c>
      <c r="M64" s="265"/>
      <c r="N64" s="265">
        <v>0</v>
      </c>
      <c r="O64" s="265"/>
      <c r="P64" s="265">
        <v>0.1</v>
      </c>
      <c r="Q64" s="265"/>
      <c r="R64" s="265"/>
      <c r="S64" s="265"/>
      <c r="T64" s="265"/>
      <c r="U64" s="265"/>
      <c r="V64" s="265"/>
      <c r="W64" s="265"/>
      <c r="X64" s="265"/>
      <c r="Y64" s="265"/>
      <c r="Z64" s="265"/>
      <c r="AA64" s="372"/>
      <c r="AB64" s="241"/>
      <c r="AC64" s="265">
        <f t="shared" si="5"/>
        <v>0.3</v>
      </c>
      <c r="AD64" s="265"/>
      <c r="AE64" s="254"/>
      <c r="AF64" s="323">
        <v>0.2</v>
      </c>
      <c r="AG64" s="265"/>
      <c r="AH64" s="1320"/>
      <c r="AI64" s="1214">
        <f>ROUND(SUM(+AC64-AF64),1)</f>
        <v>0.1</v>
      </c>
      <c r="AJ64" s="2176"/>
      <c r="AK64" s="2040">
        <f>ROUND(IF(AF64=0,0,AI64/(AF64)),3)</f>
        <v>0.5</v>
      </c>
    </row>
    <row r="65" spans="1:37" ht="15" customHeight="1">
      <c r="A65" s="357"/>
      <c r="B65" s="1979" t="s">
        <v>1567</v>
      </c>
      <c r="C65" s="1979"/>
      <c r="D65" s="1214"/>
      <c r="E65" s="1216"/>
      <c r="F65" s="265"/>
      <c r="G65" s="1216"/>
      <c r="H65" s="265"/>
      <c r="I65" s="265"/>
      <c r="J65" s="323"/>
      <c r="K65" s="265"/>
      <c r="L65" s="265"/>
      <c r="M65" s="265"/>
      <c r="N65" s="265"/>
      <c r="O65" s="265"/>
      <c r="P65" s="265"/>
      <c r="Q65" s="265"/>
      <c r="R65" s="265"/>
      <c r="S65" s="265"/>
      <c r="T65" s="265"/>
      <c r="U65" s="265"/>
      <c r="V65" s="265"/>
      <c r="W65" s="265"/>
      <c r="X65" s="265"/>
      <c r="Y65" s="265"/>
      <c r="Z65" s="265"/>
      <c r="AA65" s="372"/>
      <c r="AB65" s="241"/>
      <c r="AC65" s="265"/>
      <c r="AD65" s="265"/>
      <c r="AE65" s="254"/>
      <c r="AF65" s="323"/>
      <c r="AG65" s="265"/>
      <c r="AH65" s="1320"/>
      <c r="AI65" s="1214"/>
      <c r="AJ65" s="2176"/>
      <c r="AK65" s="2201"/>
    </row>
    <row r="66" spans="1:37" ht="15" customHeight="1">
      <c r="A66" s="357"/>
      <c r="B66" s="1979" t="s">
        <v>1435</v>
      </c>
      <c r="C66" s="1979"/>
      <c r="D66" s="1214">
        <v>6.5</v>
      </c>
      <c r="E66" s="1216"/>
      <c r="F66" s="265">
        <v>4.9000000000000004</v>
      </c>
      <c r="G66" s="1216"/>
      <c r="H66" s="265">
        <v>4.7</v>
      </c>
      <c r="I66" s="265"/>
      <c r="J66" s="323">
        <v>5.5</v>
      </c>
      <c r="K66" s="265"/>
      <c r="L66" s="265">
        <v>4.0999999999999996</v>
      </c>
      <c r="M66" s="265"/>
      <c r="N66" s="265">
        <v>4.9000000000000004</v>
      </c>
      <c r="O66" s="265"/>
      <c r="P66" s="265">
        <v>5.8</v>
      </c>
      <c r="Q66" s="265"/>
      <c r="R66" s="265"/>
      <c r="S66" s="265"/>
      <c r="T66" s="265"/>
      <c r="U66" s="265"/>
      <c r="V66" s="265"/>
      <c r="W66" s="265"/>
      <c r="X66" s="265"/>
      <c r="Y66" s="265"/>
      <c r="Z66" s="265"/>
      <c r="AA66" s="372"/>
      <c r="AB66" s="241"/>
      <c r="AC66" s="265">
        <f t="shared" si="5"/>
        <v>36.4</v>
      </c>
      <c r="AD66" s="265"/>
      <c r="AE66" s="254"/>
      <c r="AF66" s="323">
        <v>40.6</v>
      </c>
      <c r="AG66" s="265"/>
      <c r="AH66" s="1320"/>
      <c r="AI66" s="1214">
        <f t="shared" ref="AI66:AI72" si="6">ROUND(SUM(+AC66-AF66),1)</f>
        <v>-4.2</v>
      </c>
      <c r="AJ66" s="2176"/>
      <c r="AK66" s="2040">
        <f t="shared" ref="AK66:AK73" si="7">ROUND(IF(AF66=0,0,AI66/(AF66)),3)</f>
        <v>-0.10299999999999999</v>
      </c>
    </row>
    <row r="67" spans="1:37" ht="15" customHeight="1">
      <c r="A67" s="357"/>
      <c r="B67" s="1979" t="s">
        <v>1436</v>
      </c>
      <c r="C67" s="1979"/>
      <c r="D67" s="1214">
        <v>4.0999999999999996</v>
      </c>
      <c r="E67" s="1216"/>
      <c r="F67" s="265">
        <v>10.7</v>
      </c>
      <c r="G67" s="1216"/>
      <c r="H67" s="265">
        <v>30.4</v>
      </c>
      <c r="I67" s="265"/>
      <c r="J67" s="323">
        <v>10.3</v>
      </c>
      <c r="K67" s="265"/>
      <c r="L67" s="265">
        <v>7.5</v>
      </c>
      <c r="M67" s="265"/>
      <c r="N67" s="265">
        <v>27.3</v>
      </c>
      <c r="O67" s="265"/>
      <c r="P67" s="265">
        <v>12.6</v>
      </c>
      <c r="Q67" s="265"/>
      <c r="R67" s="265"/>
      <c r="S67" s="265"/>
      <c r="T67" s="265"/>
      <c r="U67" s="265"/>
      <c r="V67" s="265"/>
      <c r="W67" s="265"/>
      <c r="X67" s="265"/>
      <c r="Y67" s="265"/>
      <c r="Z67" s="265"/>
      <c r="AA67" s="372"/>
      <c r="AB67" s="241"/>
      <c r="AC67" s="265">
        <f t="shared" si="5"/>
        <v>102.9</v>
      </c>
      <c r="AD67" s="265"/>
      <c r="AE67" s="254"/>
      <c r="AF67" s="323">
        <v>124.3</v>
      </c>
      <c r="AG67" s="265"/>
      <c r="AH67" s="1320"/>
      <c r="AI67" s="1214">
        <f t="shared" si="6"/>
        <v>-21.4</v>
      </c>
      <c r="AJ67" s="2176"/>
      <c r="AK67" s="2040">
        <f t="shared" si="7"/>
        <v>-0.17199999999999999</v>
      </c>
    </row>
    <row r="68" spans="1:37" ht="15" customHeight="1">
      <c r="A68" s="357"/>
      <c r="B68" s="1979" t="s">
        <v>1437</v>
      </c>
      <c r="C68" s="1979"/>
      <c r="D68" s="1214">
        <v>18.899999999999999</v>
      </c>
      <c r="E68" s="1216"/>
      <c r="F68" s="265">
        <v>12.6</v>
      </c>
      <c r="G68" s="1216"/>
      <c r="H68" s="265">
        <v>20.2</v>
      </c>
      <c r="I68" s="265"/>
      <c r="J68" s="323">
        <v>15.9</v>
      </c>
      <c r="K68" s="265"/>
      <c r="L68" s="265">
        <v>13.8</v>
      </c>
      <c r="M68" s="265"/>
      <c r="N68" s="265">
        <v>17.100000000000001</v>
      </c>
      <c r="O68" s="265"/>
      <c r="P68" s="265">
        <v>29.8</v>
      </c>
      <c r="Q68" s="265"/>
      <c r="R68" s="265"/>
      <c r="S68" s="265"/>
      <c r="T68" s="265"/>
      <c r="U68" s="265"/>
      <c r="V68" s="265"/>
      <c r="W68" s="265"/>
      <c r="X68" s="265"/>
      <c r="Y68" s="265"/>
      <c r="Z68" s="265"/>
      <c r="AA68" s="372"/>
      <c r="AB68" s="241"/>
      <c r="AC68" s="265">
        <f t="shared" si="5"/>
        <v>128.30000000000001</v>
      </c>
      <c r="AD68" s="265"/>
      <c r="AE68" s="254"/>
      <c r="AF68" s="323">
        <v>127.9</v>
      </c>
      <c r="AG68" s="265"/>
      <c r="AH68" s="1320"/>
      <c r="AI68" s="1214">
        <f t="shared" si="6"/>
        <v>0.4</v>
      </c>
      <c r="AJ68" s="2176"/>
      <c r="AK68" s="2040">
        <f t="shared" si="7"/>
        <v>3.0000000000000001E-3</v>
      </c>
    </row>
    <row r="69" spans="1:37" ht="15" customHeight="1">
      <c r="A69" s="357"/>
      <c r="B69" s="1979" t="s">
        <v>1438</v>
      </c>
      <c r="C69" s="1979"/>
      <c r="D69" s="1214">
        <v>0.1</v>
      </c>
      <c r="E69" s="1216"/>
      <c r="F69" s="265">
        <v>0</v>
      </c>
      <c r="G69" s="1216"/>
      <c r="H69" s="265">
        <v>0.1</v>
      </c>
      <c r="I69" s="265"/>
      <c r="J69" s="323">
        <v>0</v>
      </c>
      <c r="K69" s="265"/>
      <c r="L69" s="265">
        <v>0.1</v>
      </c>
      <c r="M69" s="265"/>
      <c r="N69" s="265">
        <v>0</v>
      </c>
      <c r="O69" s="265"/>
      <c r="P69" s="265">
        <v>0.1</v>
      </c>
      <c r="Q69" s="265"/>
      <c r="R69" s="265"/>
      <c r="S69" s="265"/>
      <c r="T69" s="265"/>
      <c r="U69" s="265"/>
      <c r="V69" s="265"/>
      <c r="W69" s="265"/>
      <c r="X69" s="265"/>
      <c r="Y69" s="265"/>
      <c r="Z69" s="265"/>
      <c r="AA69" s="372"/>
      <c r="AB69" s="241"/>
      <c r="AC69" s="265">
        <f t="shared" si="5"/>
        <v>0.4</v>
      </c>
      <c r="AD69" s="265"/>
      <c r="AE69" s="254"/>
      <c r="AF69" s="323">
        <v>0.4</v>
      </c>
      <c r="AG69" s="265"/>
      <c r="AH69" s="1320"/>
      <c r="AI69" s="1214">
        <f t="shared" si="6"/>
        <v>0</v>
      </c>
      <c r="AJ69" s="2176"/>
      <c r="AK69" s="2040">
        <f t="shared" si="7"/>
        <v>0</v>
      </c>
    </row>
    <row r="70" spans="1:37" ht="15" customHeight="1">
      <c r="A70" s="357"/>
      <c r="B70" s="1979" t="s">
        <v>1439</v>
      </c>
      <c r="C70" s="1979"/>
      <c r="D70" s="1214">
        <v>37</v>
      </c>
      <c r="E70" s="1216"/>
      <c r="F70" s="265">
        <v>20.6</v>
      </c>
      <c r="G70" s="1216"/>
      <c r="H70" s="265">
        <v>6.2</v>
      </c>
      <c r="I70" s="265"/>
      <c r="J70" s="323">
        <v>19.600000000000001</v>
      </c>
      <c r="K70" s="265"/>
      <c r="L70" s="265">
        <v>5.6</v>
      </c>
      <c r="M70" s="265"/>
      <c r="N70" s="265">
        <v>6.5</v>
      </c>
      <c r="O70" s="265"/>
      <c r="P70" s="265">
        <v>24</v>
      </c>
      <c r="Q70" s="265"/>
      <c r="R70" s="265"/>
      <c r="S70" s="265"/>
      <c r="T70" s="265"/>
      <c r="U70" s="265"/>
      <c r="V70" s="265"/>
      <c r="W70" s="265"/>
      <c r="X70" s="265"/>
      <c r="Y70" s="265"/>
      <c r="Z70" s="265"/>
      <c r="AA70" s="372"/>
      <c r="AB70" s="241"/>
      <c r="AC70" s="265">
        <f t="shared" si="5"/>
        <v>119.5</v>
      </c>
      <c r="AD70" s="265"/>
      <c r="AE70" s="254"/>
      <c r="AF70" s="323">
        <v>0</v>
      </c>
      <c r="AG70" s="265"/>
      <c r="AH70" s="1320"/>
      <c r="AI70" s="1214">
        <f t="shared" si="6"/>
        <v>119.5</v>
      </c>
      <c r="AJ70" s="2176"/>
      <c r="AK70" s="3249">
        <f>ROUND(IF(AF70=0,1,AI70/(AF70)),3)</f>
        <v>1</v>
      </c>
    </row>
    <row r="71" spans="1:37" ht="15" customHeight="1">
      <c r="A71" s="357"/>
      <c r="B71" s="1979" t="s">
        <v>1440</v>
      </c>
      <c r="C71" s="1979"/>
      <c r="D71" s="1214">
        <v>1.4</v>
      </c>
      <c r="E71" s="1216"/>
      <c r="F71" s="265">
        <v>3.5</v>
      </c>
      <c r="G71" s="1216"/>
      <c r="H71" s="265">
        <v>-0.4</v>
      </c>
      <c r="I71" s="265"/>
      <c r="J71" s="323">
        <v>0.8</v>
      </c>
      <c r="K71" s="265"/>
      <c r="L71" s="265">
        <v>3.1</v>
      </c>
      <c r="M71" s="265"/>
      <c r="N71" s="265">
        <v>7</v>
      </c>
      <c r="O71" s="265"/>
      <c r="P71" s="265">
        <v>7.2</v>
      </c>
      <c r="Q71" s="265"/>
      <c r="R71" s="265"/>
      <c r="S71" s="265"/>
      <c r="T71" s="265"/>
      <c r="U71" s="265"/>
      <c r="V71" s="265"/>
      <c r="W71" s="265"/>
      <c r="X71" s="265"/>
      <c r="Y71" s="265"/>
      <c r="Z71" s="265"/>
      <c r="AA71" s="372"/>
      <c r="AB71" s="241"/>
      <c r="AC71" s="265">
        <f t="shared" si="5"/>
        <v>22.6</v>
      </c>
      <c r="AD71" s="265"/>
      <c r="AE71" s="254"/>
      <c r="AF71" s="1982">
        <v>8.9</v>
      </c>
      <c r="AG71" s="265"/>
      <c r="AH71" s="1320"/>
      <c r="AI71" s="1214">
        <f t="shared" si="6"/>
        <v>13.7</v>
      </c>
      <c r="AJ71" s="2176"/>
      <c r="AK71" s="2040">
        <f t="shared" si="7"/>
        <v>1.5389999999999999</v>
      </c>
    </row>
    <row r="72" spans="1:37" ht="15" customHeight="1">
      <c r="A72" s="357"/>
      <c r="B72" s="1979" t="s">
        <v>1429</v>
      </c>
      <c r="C72" s="1979"/>
      <c r="D72" s="1214">
        <v>80.400000000000006</v>
      </c>
      <c r="E72" s="1216"/>
      <c r="F72" s="265">
        <v>745.1</v>
      </c>
      <c r="G72" s="1216"/>
      <c r="H72" s="265">
        <v>19.8</v>
      </c>
      <c r="I72" s="265"/>
      <c r="J72" s="1982">
        <v>2258.1</v>
      </c>
      <c r="K72" s="265"/>
      <c r="L72" s="265">
        <v>118.3</v>
      </c>
      <c r="M72" s="265"/>
      <c r="N72" s="265">
        <v>352.2</v>
      </c>
      <c r="O72" s="265"/>
      <c r="P72" s="265">
        <v>14</v>
      </c>
      <c r="Q72" s="265"/>
      <c r="R72" s="265"/>
      <c r="S72" s="265"/>
      <c r="T72" s="265"/>
      <c r="U72" s="265"/>
      <c r="V72" s="265"/>
      <c r="W72" s="265"/>
      <c r="X72" s="265"/>
      <c r="Y72" s="265"/>
      <c r="Z72" s="265"/>
      <c r="AA72" s="372"/>
      <c r="AB72" s="241"/>
      <c r="AC72" s="265">
        <f t="shared" si="5"/>
        <v>3587.9</v>
      </c>
      <c r="AD72" s="265"/>
      <c r="AE72" s="254"/>
      <c r="AF72" s="323">
        <v>501.2</v>
      </c>
      <c r="AG72" s="265"/>
      <c r="AH72" s="1320"/>
      <c r="AI72" s="1214">
        <f t="shared" si="6"/>
        <v>3086.7</v>
      </c>
      <c r="AJ72" s="2176"/>
      <c r="AK72" s="2040">
        <f t="shared" si="7"/>
        <v>6.1589999999999998</v>
      </c>
    </row>
    <row r="73" spans="1:37" ht="15" customHeight="1">
      <c r="A73" s="357"/>
      <c r="B73" s="1979" t="s">
        <v>1430</v>
      </c>
      <c r="C73" s="1979"/>
      <c r="D73" s="1214">
        <v>0.2</v>
      </c>
      <c r="E73" s="1216"/>
      <c r="F73" s="265">
        <v>-0.2</v>
      </c>
      <c r="G73" s="1216"/>
      <c r="H73" s="265">
        <v>0.2</v>
      </c>
      <c r="I73" s="265"/>
      <c r="J73" s="323">
        <v>1.1000000000000001</v>
      </c>
      <c r="K73" s="265"/>
      <c r="L73" s="265">
        <v>0.1</v>
      </c>
      <c r="M73" s="265"/>
      <c r="N73" s="265">
        <v>0.2</v>
      </c>
      <c r="O73" s="265"/>
      <c r="P73" s="265">
        <v>0.1</v>
      </c>
      <c r="Q73" s="265"/>
      <c r="R73" s="265"/>
      <c r="S73" s="265"/>
      <c r="T73" s="265"/>
      <c r="U73" s="265"/>
      <c r="V73" s="265"/>
      <c r="W73" s="265"/>
      <c r="X73" s="265"/>
      <c r="Y73" s="265"/>
      <c r="Z73" s="265"/>
      <c r="AA73" s="372"/>
      <c r="AB73" s="241"/>
      <c r="AC73" s="265">
        <f t="shared" si="5"/>
        <v>1.7</v>
      </c>
      <c r="AD73" s="265"/>
      <c r="AE73" s="254"/>
      <c r="AF73" s="323">
        <v>0.1</v>
      </c>
      <c r="AG73" s="265"/>
      <c r="AH73" s="1320"/>
      <c r="AI73" s="1214">
        <f>ROUND(SUM(+AC73-AF73),1)</f>
        <v>1.6</v>
      </c>
      <c r="AJ73" s="2176"/>
      <c r="AK73" s="3193">
        <f t="shared" si="7"/>
        <v>16</v>
      </c>
    </row>
    <row r="74" spans="1:37" ht="15" customHeight="1">
      <c r="A74" s="357"/>
      <c r="B74" s="1979" t="s">
        <v>1565</v>
      </c>
      <c r="C74" s="1979"/>
      <c r="D74" s="1214"/>
      <c r="E74" s="1216"/>
      <c r="F74" s="265"/>
      <c r="G74" s="1216"/>
      <c r="H74" s="265"/>
      <c r="I74" s="265"/>
      <c r="J74" s="323"/>
      <c r="K74" s="265"/>
      <c r="L74" s="265"/>
      <c r="M74" s="265"/>
      <c r="N74" s="265"/>
      <c r="O74" s="265"/>
      <c r="P74" s="265"/>
      <c r="Q74" s="265"/>
      <c r="R74" s="265"/>
      <c r="S74" s="265"/>
      <c r="T74" s="265"/>
      <c r="U74" s="265"/>
      <c r="V74" s="265"/>
      <c r="W74" s="265"/>
      <c r="X74" s="265"/>
      <c r="Y74" s="265"/>
      <c r="Z74" s="265"/>
      <c r="AA74" s="372"/>
      <c r="AB74" s="241"/>
      <c r="AC74" s="265"/>
      <c r="AD74" s="265"/>
      <c r="AE74" s="254"/>
      <c r="AF74" s="323"/>
      <c r="AG74" s="265"/>
      <c r="AH74" s="1320"/>
      <c r="AI74" s="1214"/>
      <c r="AJ74" s="2176"/>
      <c r="AK74" s="2201"/>
    </row>
    <row r="75" spans="1:37" ht="15" customHeight="1">
      <c r="A75" s="357"/>
      <c r="B75" s="1979" t="s">
        <v>1445</v>
      </c>
      <c r="C75" s="1979"/>
      <c r="D75" s="1214">
        <v>0</v>
      </c>
      <c r="E75" s="1216"/>
      <c r="F75" s="265">
        <v>2.2000000000000002</v>
      </c>
      <c r="G75" s="1216"/>
      <c r="H75" s="265">
        <v>4.7</v>
      </c>
      <c r="I75" s="265"/>
      <c r="J75" s="323">
        <v>0</v>
      </c>
      <c r="K75" s="265"/>
      <c r="L75" s="265">
        <v>0</v>
      </c>
      <c r="M75" s="265"/>
      <c r="N75" s="265">
        <v>0</v>
      </c>
      <c r="O75" s="265"/>
      <c r="P75" s="265">
        <v>5.9</v>
      </c>
      <c r="Q75" s="265"/>
      <c r="R75" s="265"/>
      <c r="S75" s="265"/>
      <c r="T75" s="265"/>
      <c r="U75" s="265"/>
      <c r="V75" s="265"/>
      <c r="W75" s="265"/>
      <c r="X75" s="265"/>
      <c r="Y75" s="265"/>
      <c r="Z75" s="265"/>
      <c r="AA75" s="372"/>
      <c r="AB75" s="241"/>
      <c r="AC75" s="265">
        <f t="shared" si="5"/>
        <v>12.8</v>
      </c>
      <c r="AD75" s="265"/>
      <c r="AE75" s="254"/>
      <c r="AF75" s="323">
        <v>13.9</v>
      </c>
      <c r="AG75" s="265"/>
      <c r="AH75" s="1320"/>
      <c r="AI75" s="1214">
        <f>ROUND(SUM(+AC75-AF75),1)</f>
        <v>-1.1000000000000001</v>
      </c>
      <c r="AJ75" s="2176"/>
      <c r="AK75" s="2040">
        <f>ROUND(IF(AF75=0,0,AI75/(AF75)),3)</f>
        <v>-7.9000000000000001E-2</v>
      </c>
    </row>
    <row r="76" spans="1:37" ht="15" customHeight="1">
      <c r="A76" s="357"/>
      <c r="B76" s="1979" t="s">
        <v>1446</v>
      </c>
      <c r="C76" s="1979"/>
      <c r="D76" s="1214">
        <v>9.6</v>
      </c>
      <c r="E76" s="1216"/>
      <c r="F76" s="265">
        <v>0.1</v>
      </c>
      <c r="G76" s="1216"/>
      <c r="H76" s="265">
        <v>0.1</v>
      </c>
      <c r="I76" s="265"/>
      <c r="J76" s="323">
        <v>15.8</v>
      </c>
      <c r="K76" s="265"/>
      <c r="L76" s="265">
        <v>2.2999999999999998</v>
      </c>
      <c r="M76" s="265"/>
      <c r="N76" s="265">
        <v>3.3</v>
      </c>
      <c r="O76" s="265"/>
      <c r="P76" s="265">
        <v>9.9</v>
      </c>
      <c r="Q76" s="265"/>
      <c r="R76" s="265"/>
      <c r="S76" s="265"/>
      <c r="T76" s="265"/>
      <c r="U76" s="265"/>
      <c r="V76" s="265"/>
      <c r="W76" s="265"/>
      <c r="X76" s="265"/>
      <c r="Y76" s="265"/>
      <c r="Z76" s="265"/>
      <c r="AA76" s="372"/>
      <c r="AB76" s="241"/>
      <c r="AC76" s="265">
        <f t="shared" si="5"/>
        <v>41.1</v>
      </c>
      <c r="AD76" s="265"/>
      <c r="AE76" s="254"/>
      <c r="AF76" s="323">
        <v>54.4</v>
      </c>
      <c r="AG76" s="265"/>
      <c r="AH76" s="1320"/>
      <c r="AI76" s="1214">
        <f>ROUND(SUM(+AC76-AF76),1)</f>
        <v>-13.3</v>
      </c>
      <c r="AJ76" s="2176"/>
      <c r="AK76" s="2040">
        <f>ROUND(IF(AF76=0,0,AI76/(AF76)),3)</f>
        <v>-0.24399999999999999</v>
      </c>
    </row>
    <row r="77" spans="1:37" ht="15" customHeight="1">
      <c r="A77" s="357"/>
      <c r="B77" s="1979" t="s">
        <v>1447</v>
      </c>
      <c r="C77" s="1979"/>
      <c r="D77" s="1214">
        <v>0</v>
      </c>
      <c r="E77" s="1216"/>
      <c r="F77" s="265">
        <v>0</v>
      </c>
      <c r="G77" s="1216"/>
      <c r="H77" s="265">
        <v>0</v>
      </c>
      <c r="I77" s="265"/>
      <c r="J77" s="323">
        <v>0</v>
      </c>
      <c r="K77" s="265"/>
      <c r="L77" s="265">
        <v>0</v>
      </c>
      <c r="M77" s="265"/>
      <c r="N77" s="265">
        <v>0</v>
      </c>
      <c r="O77" s="265"/>
      <c r="P77" s="265">
        <v>0</v>
      </c>
      <c r="Q77" s="265"/>
      <c r="R77" s="265"/>
      <c r="S77" s="265"/>
      <c r="T77" s="265"/>
      <c r="U77" s="265"/>
      <c r="V77" s="265"/>
      <c r="W77" s="265"/>
      <c r="X77" s="265"/>
      <c r="Y77" s="265"/>
      <c r="Z77" s="265"/>
      <c r="AA77" s="372"/>
      <c r="AB77" s="241"/>
      <c r="AC77" s="265">
        <f t="shared" si="5"/>
        <v>0</v>
      </c>
      <c r="AD77" s="265"/>
      <c r="AE77" s="254"/>
      <c r="AF77" s="323">
        <v>48.4</v>
      </c>
      <c r="AG77" s="265"/>
      <c r="AH77" s="1320"/>
      <c r="AI77" s="1214">
        <f>ROUND(SUM(+AC77-AF77),1)</f>
        <v>-48.4</v>
      </c>
      <c r="AJ77" s="2176"/>
      <c r="AK77" s="2040">
        <f>ROUND(IF(AF77=0,0,AI77/(AF77)),3)</f>
        <v>-1</v>
      </c>
    </row>
    <row r="78" spans="1:37" ht="15" customHeight="1">
      <c r="A78" s="357"/>
      <c r="B78" s="1979" t="s">
        <v>1448</v>
      </c>
      <c r="C78" s="1979"/>
      <c r="D78" s="1214">
        <v>0</v>
      </c>
      <c r="E78" s="1216"/>
      <c r="F78" s="265">
        <v>0</v>
      </c>
      <c r="G78" s="1216"/>
      <c r="H78" s="265">
        <v>0</v>
      </c>
      <c r="I78" s="265"/>
      <c r="J78" s="323">
        <v>0.1</v>
      </c>
      <c r="K78" s="265"/>
      <c r="L78" s="265">
        <v>0</v>
      </c>
      <c r="M78" s="265"/>
      <c r="N78" s="265">
        <v>0</v>
      </c>
      <c r="O78" s="265"/>
      <c r="P78" s="265">
        <v>0</v>
      </c>
      <c r="Q78" s="265"/>
      <c r="R78" s="265"/>
      <c r="S78" s="265"/>
      <c r="T78" s="265"/>
      <c r="U78" s="265"/>
      <c r="V78" s="265"/>
      <c r="W78" s="265"/>
      <c r="X78" s="265"/>
      <c r="Y78" s="265"/>
      <c r="Z78" s="265"/>
      <c r="AA78" s="372"/>
      <c r="AB78" s="241"/>
      <c r="AC78" s="265">
        <f t="shared" si="5"/>
        <v>0.1</v>
      </c>
      <c r="AD78" s="265"/>
      <c r="AE78" s="254"/>
      <c r="AF78" s="323">
        <v>0.1</v>
      </c>
      <c r="AG78" s="265"/>
      <c r="AH78" s="1320"/>
      <c r="AI78" s="1214">
        <f>ROUND(SUM(+AC78-AF78),1)</f>
        <v>0</v>
      </c>
      <c r="AJ78" s="2176"/>
      <c r="AK78" s="3249">
        <f>ROUND(IF(AF78=0,1,AI78/(AF78)),3)</f>
        <v>0</v>
      </c>
    </row>
    <row r="79" spans="1:37" ht="15" customHeight="1">
      <c r="A79" s="357"/>
      <c r="B79" s="1979" t="s">
        <v>1449</v>
      </c>
      <c r="C79" s="1979"/>
      <c r="D79" s="1214">
        <v>0.2</v>
      </c>
      <c r="E79" s="1216"/>
      <c r="F79" s="265">
        <v>0.1</v>
      </c>
      <c r="G79" s="1216"/>
      <c r="H79" s="265">
        <v>0.8</v>
      </c>
      <c r="I79" s="265"/>
      <c r="J79" s="323">
        <v>0.3</v>
      </c>
      <c r="K79" s="265"/>
      <c r="L79" s="265">
        <v>1.3</v>
      </c>
      <c r="M79" s="265"/>
      <c r="N79" s="265">
        <v>0.2</v>
      </c>
      <c r="O79" s="265"/>
      <c r="P79" s="265">
        <v>0.3</v>
      </c>
      <c r="Q79" s="265"/>
      <c r="R79" s="265"/>
      <c r="S79" s="265"/>
      <c r="T79" s="265"/>
      <c r="U79" s="265"/>
      <c r="V79" s="265"/>
      <c r="W79" s="265"/>
      <c r="X79" s="265"/>
      <c r="Y79" s="265"/>
      <c r="Z79" s="265"/>
      <c r="AA79" s="372"/>
      <c r="AB79" s="241"/>
      <c r="AC79" s="265">
        <f t="shared" si="5"/>
        <v>3.2</v>
      </c>
      <c r="AD79" s="265"/>
      <c r="AE79" s="254"/>
      <c r="AF79" s="323">
        <v>3.7</v>
      </c>
      <c r="AG79" s="265"/>
      <c r="AH79" s="1320"/>
      <c r="AI79" s="1214">
        <f>ROUND(SUM(+AC79-AF79),1)</f>
        <v>-0.5</v>
      </c>
      <c r="AJ79" s="2176"/>
      <c r="AK79" s="2040">
        <f>ROUND(IF(AF79=0,0,AI79/(AF79)),3)</f>
        <v>-0.13500000000000001</v>
      </c>
    </row>
    <row r="80" spans="1:37" ht="15" customHeight="1">
      <c r="A80" s="357"/>
      <c r="B80" s="1979" t="s">
        <v>1566</v>
      </c>
      <c r="C80" s="1979"/>
      <c r="D80" s="1214"/>
      <c r="E80" s="1216"/>
      <c r="F80" s="265"/>
      <c r="G80" s="1216"/>
      <c r="H80" s="265"/>
      <c r="I80" s="265"/>
      <c r="J80" s="323"/>
      <c r="K80" s="265"/>
      <c r="L80" s="265"/>
      <c r="M80" s="265"/>
      <c r="N80" s="265"/>
      <c r="O80" s="265"/>
      <c r="P80" s="265"/>
      <c r="Q80" s="265"/>
      <c r="R80" s="265"/>
      <c r="S80" s="265"/>
      <c r="T80" s="265"/>
      <c r="U80" s="265"/>
      <c r="V80" s="265"/>
      <c r="W80" s="265"/>
      <c r="X80" s="265"/>
      <c r="Y80" s="265"/>
      <c r="Z80" s="265"/>
      <c r="AA80" s="372"/>
      <c r="AB80" s="241"/>
      <c r="AC80" s="265"/>
      <c r="AD80" s="265"/>
      <c r="AE80" s="254"/>
      <c r="AF80" s="323"/>
      <c r="AG80" s="265"/>
      <c r="AH80" s="1320"/>
      <c r="AI80" s="1214"/>
      <c r="AJ80" s="2176"/>
      <c r="AK80" s="2201"/>
    </row>
    <row r="81" spans="1:37" ht="15" customHeight="1">
      <c r="A81" s="357"/>
      <c r="B81" s="1979" t="s">
        <v>1450</v>
      </c>
      <c r="C81" s="1979"/>
      <c r="D81" s="1214">
        <v>0</v>
      </c>
      <c r="E81" s="1216"/>
      <c r="F81" s="265">
        <v>0.1</v>
      </c>
      <c r="G81" s="1216"/>
      <c r="H81" s="265">
        <v>23.1</v>
      </c>
      <c r="I81" s="265"/>
      <c r="J81" s="323">
        <v>0.1</v>
      </c>
      <c r="K81" s="265"/>
      <c r="L81" s="265">
        <v>0</v>
      </c>
      <c r="M81" s="265"/>
      <c r="N81" s="265">
        <v>26.3</v>
      </c>
      <c r="O81" s="265"/>
      <c r="P81" s="1214">
        <v>0.1</v>
      </c>
      <c r="Q81" s="265"/>
      <c r="R81" s="265"/>
      <c r="S81" s="265"/>
      <c r="T81" s="265"/>
      <c r="U81" s="265"/>
      <c r="V81" s="265"/>
      <c r="W81" s="265"/>
      <c r="X81" s="265"/>
      <c r="Y81" s="265"/>
      <c r="Z81" s="265"/>
      <c r="AA81" s="372"/>
      <c r="AB81" s="241"/>
      <c r="AC81" s="265">
        <f t="shared" si="5"/>
        <v>49.7</v>
      </c>
      <c r="AD81" s="265"/>
      <c r="AE81" s="254"/>
      <c r="AF81" s="323">
        <v>48.4</v>
      </c>
      <c r="AG81" s="265"/>
      <c r="AH81" s="1320"/>
      <c r="AI81" s="1214">
        <f t="shared" ref="AI81:AI87" si="8">ROUND(SUM(+AC81-AF81),1)</f>
        <v>1.3</v>
      </c>
      <c r="AJ81" s="2176"/>
      <c r="AK81" s="2040">
        <f t="shared" ref="AK81:AK87" si="9">ROUND(IF(AF81=0,0,AI81/(AF81)),3)</f>
        <v>2.7E-2</v>
      </c>
    </row>
    <row r="82" spans="1:37" ht="15" customHeight="1">
      <c r="A82" s="357"/>
      <c r="B82" s="1979" t="s">
        <v>1452</v>
      </c>
      <c r="C82" s="1979"/>
      <c r="D82" s="1214">
        <v>0</v>
      </c>
      <c r="E82" s="1216"/>
      <c r="F82" s="265">
        <v>0.1</v>
      </c>
      <c r="G82" s="1216"/>
      <c r="H82" s="265">
        <v>-0.1</v>
      </c>
      <c r="I82" s="265"/>
      <c r="J82" s="323">
        <v>0</v>
      </c>
      <c r="K82" s="265"/>
      <c r="L82" s="265">
        <v>0</v>
      </c>
      <c r="M82" s="265"/>
      <c r="N82" s="265">
        <v>0</v>
      </c>
      <c r="O82" s="265"/>
      <c r="P82" s="265">
        <v>0</v>
      </c>
      <c r="Q82" s="265"/>
      <c r="R82" s="265"/>
      <c r="S82" s="265"/>
      <c r="T82" s="265"/>
      <c r="U82" s="265"/>
      <c r="V82" s="265"/>
      <c r="W82" s="265"/>
      <c r="X82" s="265"/>
      <c r="Y82" s="265"/>
      <c r="Z82" s="265"/>
      <c r="AA82" s="372"/>
      <c r="AB82" s="241"/>
      <c r="AC82" s="265">
        <f t="shared" si="5"/>
        <v>0</v>
      </c>
      <c r="AD82" s="265"/>
      <c r="AE82" s="254"/>
      <c r="AF82" s="323">
        <v>0</v>
      </c>
      <c r="AG82" s="265"/>
      <c r="AH82" s="1320"/>
      <c r="AI82" s="1214">
        <f t="shared" si="8"/>
        <v>0</v>
      </c>
      <c r="AJ82" s="2176"/>
      <c r="AK82" s="2040">
        <f t="shared" si="9"/>
        <v>0</v>
      </c>
    </row>
    <row r="83" spans="1:37" ht="15" customHeight="1">
      <c r="A83" s="357"/>
      <c r="B83" s="1979" t="s">
        <v>1453</v>
      </c>
      <c r="C83" s="1979"/>
      <c r="D83" s="1214">
        <v>2</v>
      </c>
      <c r="E83" s="1216"/>
      <c r="F83" s="265">
        <v>9.1999999999999993</v>
      </c>
      <c r="G83" s="1216"/>
      <c r="H83" s="265">
        <v>17.100000000000001</v>
      </c>
      <c r="I83" s="265"/>
      <c r="J83" s="323">
        <v>3</v>
      </c>
      <c r="K83" s="265"/>
      <c r="L83" s="265">
        <v>19.7</v>
      </c>
      <c r="M83" s="265"/>
      <c r="N83" s="265">
        <v>6.2</v>
      </c>
      <c r="O83" s="265"/>
      <c r="P83" s="265">
        <v>5.3</v>
      </c>
      <c r="Q83" s="265"/>
      <c r="R83" s="265"/>
      <c r="S83" s="265"/>
      <c r="T83" s="265"/>
      <c r="U83" s="265"/>
      <c r="V83" s="265"/>
      <c r="W83" s="265"/>
      <c r="X83" s="265"/>
      <c r="Y83" s="265"/>
      <c r="Z83" s="265"/>
      <c r="AA83" s="372"/>
      <c r="AB83" s="241"/>
      <c r="AC83" s="265">
        <f t="shared" si="5"/>
        <v>62.5</v>
      </c>
      <c r="AD83" s="265"/>
      <c r="AE83" s="254"/>
      <c r="AF83" s="323">
        <v>68.8</v>
      </c>
      <c r="AG83" s="265"/>
      <c r="AH83" s="1320"/>
      <c r="AI83" s="1214">
        <f t="shared" si="8"/>
        <v>-6.3</v>
      </c>
      <c r="AJ83" s="2176"/>
      <c r="AK83" s="2040">
        <f t="shared" si="9"/>
        <v>-9.1999999999999998E-2</v>
      </c>
    </row>
    <row r="84" spans="1:37" ht="15" customHeight="1">
      <c r="A84" s="357"/>
      <c r="B84" s="1979" t="s">
        <v>1456</v>
      </c>
      <c r="C84" s="1979"/>
      <c r="D84" s="1214">
        <v>0</v>
      </c>
      <c r="E84" s="1216"/>
      <c r="F84" s="265">
        <v>4.5999999999999996</v>
      </c>
      <c r="G84" s="1216"/>
      <c r="H84" s="265">
        <v>0</v>
      </c>
      <c r="I84" s="265"/>
      <c r="J84" s="323">
        <v>0</v>
      </c>
      <c r="K84" s="265"/>
      <c r="L84" s="265">
        <v>-0.1</v>
      </c>
      <c r="M84" s="265"/>
      <c r="N84" s="265">
        <v>0.1</v>
      </c>
      <c r="O84" s="265"/>
      <c r="P84" s="265">
        <v>304.3</v>
      </c>
      <c r="Q84" s="265"/>
      <c r="R84" s="265"/>
      <c r="S84" s="265"/>
      <c r="T84" s="265"/>
      <c r="U84" s="265"/>
      <c r="V84" s="265"/>
      <c r="W84" s="265"/>
      <c r="X84" s="265"/>
      <c r="Y84" s="265"/>
      <c r="Z84" s="265"/>
      <c r="AA84" s="372"/>
      <c r="AB84" s="241"/>
      <c r="AC84" s="265">
        <f t="shared" si="5"/>
        <v>308.89999999999998</v>
      </c>
      <c r="AD84" s="265"/>
      <c r="AE84" s="254"/>
      <c r="AF84" s="323">
        <v>2.5</v>
      </c>
      <c r="AG84" s="265"/>
      <c r="AH84" s="1320"/>
      <c r="AI84" s="1214">
        <f t="shared" si="8"/>
        <v>306.39999999999998</v>
      </c>
      <c r="AJ84" s="2176"/>
      <c r="AK84" s="3193">
        <f t="shared" si="9"/>
        <v>122.56</v>
      </c>
    </row>
    <row r="85" spans="1:37" ht="15" customHeight="1">
      <c r="A85" s="357"/>
      <c r="B85" s="1979" t="s">
        <v>1457</v>
      </c>
      <c r="C85" s="1979"/>
      <c r="D85" s="1214">
        <v>0</v>
      </c>
      <c r="E85" s="1216"/>
      <c r="F85" s="265">
        <v>0</v>
      </c>
      <c r="G85" s="1216"/>
      <c r="H85" s="265">
        <v>0</v>
      </c>
      <c r="I85" s="265"/>
      <c r="J85" s="323">
        <v>0</v>
      </c>
      <c r="K85" s="265"/>
      <c r="L85" s="265">
        <v>0</v>
      </c>
      <c r="M85" s="265"/>
      <c r="N85" s="265">
        <v>0</v>
      </c>
      <c r="O85" s="265"/>
      <c r="P85" s="265">
        <v>0</v>
      </c>
      <c r="Q85" s="265"/>
      <c r="R85" s="265"/>
      <c r="S85" s="265"/>
      <c r="T85" s="265"/>
      <c r="U85" s="265"/>
      <c r="V85" s="265"/>
      <c r="W85" s="265"/>
      <c r="X85" s="265"/>
      <c r="Y85" s="265"/>
      <c r="Z85" s="265"/>
      <c r="AA85" s="372"/>
      <c r="AB85" s="241"/>
      <c r="AC85" s="265">
        <f t="shared" si="5"/>
        <v>0</v>
      </c>
      <c r="AD85" s="265"/>
      <c r="AE85" s="254"/>
      <c r="AF85" s="323">
        <v>0.2</v>
      </c>
      <c r="AG85" s="265"/>
      <c r="AH85" s="1320"/>
      <c r="AI85" s="1214">
        <f t="shared" si="8"/>
        <v>-0.2</v>
      </c>
      <c r="AJ85" s="2176"/>
      <c r="AK85" s="2040">
        <f t="shared" si="9"/>
        <v>-1</v>
      </c>
    </row>
    <row r="86" spans="1:37" ht="15" customHeight="1">
      <c r="A86" s="357"/>
      <c r="B86" s="1979" t="s">
        <v>1458</v>
      </c>
      <c r="C86" s="1979"/>
      <c r="D86" s="1214">
        <v>5.2</v>
      </c>
      <c r="E86" s="1216"/>
      <c r="F86" s="265">
        <v>-1.7</v>
      </c>
      <c r="G86" s="1216"/>
      <c r="H86" s="265">
        <v>4.7</v>
      </c>
      <c r="I86" s="265"/>
      <c r="J86" s="323">
        <v>-3.5</v>
      </c>
      <c r="K86" s="265"/>
      <c r="L86" s="265">
        <v>2.9</v>
      </c>
      <c r="M86" s="265"/>
      <c r="N86" s="265">
        <v>15.2</v>
      </c>
      <c r="O86" s="265"/>
      <c r="P86" s="265">
        <v>-6.5</v>
      </c>
      <c r="Q86" s="265"/>
      <c r="R86" s="265"/>
      <c r="S86" s="265"/>
      <c r="T86" s="265"/>
      <c r="U86" s="265"/>
      <c r="V86" s="265"/>
      <c r="W86" s="265"/>
      <c r="X86" s="265"/>
      <c r="Y86" s="265"/>
      <c r="Z86" s="265"/>
      <c r="AA86" s="372"/>
      <c r="AB86" s="241"/>
      <c r="AC86" s="265">
        <f t="shared" si="5"/>
        <v>16.3</v>
      </c>
      <c r="AD86" s="265"/>
      <c r="AE86" s="254"/>
      <c r="AF86" s="323">
        <v>18.2</v>
      </c>
      <c r="AG86" s="265"/>
      <c r="AH86" s="1320"/>
      <c r="AI86" s="1214">
        <f t="shared" si="8"/>
        <v>-1.9</v>
      </c>
      <c r="AJ86" s="2176"/>
      <c r="AK86" s="2040">
        <f t="shared" si="9"/>
        <v>-0.104</v>
      </c>
    </row>
    <row r="87" spans="1:37" ht="15" customHeight="1">
      <c r="A87" s="357"/>
      <c r="B87" s="1979" t="s">
        <v>1459</v>
      </c>
      <c r="C87" s="1979"/>
      <c r="D87" s="1214">
        <v>0</v>
      </c>
      <c r="E87" s="1216"/>
      <c r="F87" s="265">
        <v>0</v>
      </c>
      <c r="G87" s="1216"/>
      <c r="H87" s="265">
        <v>0.1</v>
      </c>
      <c r="I87" s="265"/>
      <c r="J87" s="323">
        <v>0.1</v>
      </c>
      <c r="K87" s="265"/>
      <c r="L87" s="265">
        <v>1.9</v>
      </c>
      <c r="M87" s="265"/>
      <c r="N87" s="265">
        <v>-0.3</v>
      </c>
      <c r="O87" s="265"/>
      <c r="P87" s="265">
        <v>0.9</v>
      </c>
      <c r="Q87" s="265"/>
      <c r="R87" s="265"/>
      <c r="S87" s="265"/>
      <c r="T87" s="265"/>
      <c r="U87" s="265"/>
      <c r="V87" s="265"/>
      <c r="W87" s="265"/>
      <c r="X87" s="265"/>
      <c r="Y87" s="265"/>
      <c r="Z87" s="265"/>
      <c r="AA87" s="372"/>
      <c r="AB87" s="241"/>
      <c r="AC87" s="265">
        <f t="shared" si="5"/>
        <v>2.7</v>
      </c>
      <c r="AD87" s="265"/>
      <c r="AE87" s="254"/>
      <c r="AF87" s="323">
        <v>2.1</v>
      </c>
      <c r="AG87" s="265"/>
      <c r="AH87" s="1320"/>
      <c r="AI87" s="1214">
        <f t="shared" si="8"/>
        <v>0.6</v>
      </c>
      <c r="AJ87" s="2176"/>
      <c r="AK87" s="2040">
        <f t="shared" si="9"/>
        <v>0.28599999999999998</v>
      </c>
    </row>
    <row r="88" spans="1:37" s="427" customFormat="1" ht="15" customHeight="1">
      <c r="A88" s="2371"/>
      <c r="B88" s="594" t="s">
        <v>1497</v>
      </c>
      <c r="C88" s="417"/>
      <c r="D88" s="489">
        <f>ROUND(SUM(D58:D87),1)</f>
        <v>175</v>
      </c>
      <c r="E88" s="2372"/>
      <c r="F88" s="489">
        <f>ROUND(SUM(F58:F87),1)</f>
        <v>1815.8</v>
      </c>
      <c r="G88" s="2372"/>
      <c r="H88" s="489">
        <f>ROUND(SUM(H58:H87),1)</f>
        <v>155.80000000000001</v>
      </c>
      <c r="I88" s="2154"/>
      <c r="J88" s="1327">
        <f>ROUND(SUM(J58:J87),1)</f>
        <v>2319.4</v>
      </c>
      <c r="K88" s="2154"/>
      <c r="L88" s="489">
        <f>ROUND(SUM(L58:L87),1)</f>
        <v>189.3</v>
      </c>
      <c r="M88" s="2154"/>
      <c r="N88" s="489">
        <f>ROUND(SUM(N58:N87),1)</f>
        <v>673.6</v>
      </c>
      <c r="O88" s="2154"/>
      <c r="P88" s="489">
        <f>ROUND(SUM(P58:P87),1)</f>
        <v>512.20000000000005</v>
      </c>
      <c r="Q88" s="2154"/>
      <c r="R88" s="489">
        <f>ROUND(SUM(R58:R87),1)</f>
        <v>0</v>
      </c>
      <c r="S88" s="2154"/>
      <c r="T88" s="489">
        <f>ROUND(SUM(T58:T87),1)</f>
        <v>0</v>
      </c>
      <c r="U88" s="2154"/>
      <c r="V88" s="489">
        <f>ROUND(SUM(V58:V87),1)</f>
        <v>0</v>
      </c>
      <c r="W88" s="2154"/>
      <c r="X88" s="489">
        <f>ROUND(SUM(X58:X87),1)</f>
        <v>0</v>
      </c>
      <c r="Y88" s="2154"/>
      <c r="Z88" s="489">
        <f>ROUND(SUM(Z58:Z87),1)</f>
        <v>0</v>
      </c>
      <c r="AA88" s="414"/>
      <c r="AB88" s="490"/>
      <c r="AC88" s="489">
        <f>ROUND(SUM(AC58:AC87),1)</f>
        <v>5841.1</v>
      </c>
      <c r="AD88" s="2154"/>
      <c r="AE88" s="263"/>
      <c r="AF88" s="1327">
        <f>ROUND(SUM(AF58:AF87),1)</f>
        <v>1704.2</v>
      </c>
      <c r="AG88" s="2154"/>
      <c r="AH88" s="1322"/>
      <c r="AI88" s="489">
        <f>ROUND(SUM(AI58:AI87),1)</f>
        <v>4136.8999999999996</v>
      </c>
      <c r="AJ88" s="277"/>
      <c r="AK88" s="2373">
        <f>ROUND(SUM(+AI88/AF88),3)</f>
        <v>2.427</v>
      </c>
    </row>
    <row r="89" spans="1:37" s="427" customFormat="1" ht="8.25" customHeight="1">
      <c r="A89" s="2371"/>
      <c r="B89" s="225"/>
      <c r="C89" s="417"/>
      <c r="D89" s="2154"/>
      <c r="E89" s="2372"/>
      <c r="F89" s="2154"/>
      <c r="G89" s="2372"/>
      <c r="H89" s="2154"/>
      <c r="I89" s="2154"/>
      <c r="J89" s="317"/>
      <c r="K89" s="2154"/>
      <c r="L89" s="2154"/>
      <c r="M89" s="2154"/>
      <c r="N89" s="2154"/>
      <c r="O89" s="2154"/>
      <c r="P89" s="2154"/>
      <c r="Q89" s="2154"/>
      <c r="R89" s="2154"/>
      <c r="S89" s="2154"/>
      <c r="T89" s="2154"/>
      <c r="U89" s="2154"/>
      <c r="V89" s="2154"/>
      <c r="W89" s="2154"/>
      <c r="X89" s="2154"/>
      <c r="Y89" s="2154"/>
      <c r="Z89" s="2154"/>
      <c r="AA89" s="414"/>
      <c r="AB89" s="483"/>
      <c r="AC89" s="2154"/>
      <c r="AD89" s="2154"/>
      <c r="AE89" s="263"/>
      <c r="AF89" s="317"/>
      <c r="AG89" s="2154"/>
      <c r="AH89" s="1322"/>
      <c r="AI89" s="2154"/>
      <c r="AJ89" s="277"/>
      <c r="AK89" s="518"/>
    </row>
    <row r="90" spans="1:37" ht="15" customHeight="1">
      <c r="A90" s="357"/>
      <c r="B90" s="227" t="s">
        <v>157</v>
      </c>
      <c r="C90" s="226"/>
      <c r="D90" s="1215">
        <v>0.5</v>
      </c>
      <c r="E90" s="265"/>
      <c r="F90" s="1215">
        <v>0</v>
      </c>
      <c r="G90" s="265"/>
      <c r="H90" s="1215">
        <v>0</v>
      </c>
      <c r="I90" s="265"/>
      <c r="J90" s="2406">
        <v>0.1</v>
      </c>
      <c r="K90" s="265"/>
      <c r="L90" s="1215">
        <v>0</v>
      </c>
      <c r="M90" s="265"/>
      <c r="N90" s="1215">
        <v>0.1</v>
      </c>
      <c r="O90" s="265"/>
      <c r="P90" s="1217">
        <v>0</v>
      </c>
      <c r="Q90" s="265"/>
      <c r="R90" s="1215"/>
      <c r="S90" s="265"/>
      <c r="T90" s="1215"/>
      <c r="U90" s="265"/>
      <c r="V90" s="1215"/>
      <c r="W90" s="265"/>
      <c r="X90" s="521"/>
      <c r="Y90" s="265"/>
      <c r="Z90" s="265"/>
      <c r="AA90" s="479"/>
      <c r="AB90" s="232"/>
      <c r="AC90" s="323">
        <f>ROUND(SUM(D90:Z90),1)</f>
        <v>0.7</v>
      </c>
      <c r="AD90" s="265"/>
      <c r="AE90" s="254"/>
      <c r="AF90" s="1321">
        <v>0.1</v>
      </c>
      <c r="AG90" s="253"/>
      <c r="AH90" s="1320"/>
      <c r="AI90" s="3150">
        <f>ROUND(SUM(+AC90-AF90),1)</f>
        <v>0.6</v>
      </c>
      <c r="AJ90" s="2176"/>
      <c r="AK90" s="2916">
        <f>ROUND(IF(AF90=0,0,AI90/(AF90)),3)</f>
        <v>6</v>
      </c>
    </row>
    <row r="91" spans="1:37" ht="3.95" customHeight="1">
      <c r="A91" s="357"/>
      <c r="B91" s="227"/>
      <c r="C91" s="226"/>
      <c r="D91" s="293"/>
      <c r="E91" s="265"/>
      <c r="F91" s="293"/>
      <c r="G91" s="265"/>
      <c r="H91" s="293"/>
      <c r="I91" s="265"/>
      <c r="J91" s="332"/>
      <c r="K91" s="265"/>
      <c r="L91" s="293"/>
      <c r="M91" s="265"/>
      <c r="N91" s="293"/>
      <c r="O91" s="265"/>
      <c r="P91" s="265"/>
      <c r="Q91" s="265"/>
      <c r="R91" s="293"/>
      <c r="S91" s="265"/>
      <c r="T91" s="293"/>
      <c r="U91" s="265"/>
      <c r="V91" s="293"/>
      <c r="W91" s="265"/>
      <c r="X91" s="293"/>
      <c r="Y91" s="265"/>
      <c r="Z91" s="293"/>
      <c r="AA91" s="481"/>
      <c r="AB91" s="232"/>
      <c r="AC91" s="332"/>
      <c r="AD91" s="265"/>
      <c r="AE91" s="254"/>
      <c r="AF91" s="332"/>
      <c r="AG91" s="253"/>
      <c r="AH91" s="1320"/>
      <c r="AI91" s="1214"/>
      <c r="AJ91" s="2176"/>
      <c r="AK91" s="2201"/>
    </row>
    <row r="92" spans="1:37" ht="15" customHeight="1">
      <c r="A92" s="357"/>
      <c r="B92" s="225" t="s">
        <v>158</v>
      </c>
      <c r="C92" s="226"/>
      <c r="D92" s="275">
        <f>ROUND(SUM(D90+D88+D54),1)</f>
        <v>4930.2</v>
      </c>
      <c r="E92" s="261"/>
      <c r="F92" s="275">
        <f>ROUND(SUM(F90+F88+F54),1)</f>
        <v>4372.8999999999996</v>
      </c>
      <c r="G92" s="261"/>
      <c r="H92" s="275">
        <f>ROUND(SUM(H90+H88+H54),1)</f>
        <v>4884.3999999999996</v>
      </c>
      <c r="I92" s="261"/>
      <c r="J92" s="318">
        <f>ROUND(SUM(J90+J88+J54),1)</f>
        <v>4995.5</v>
      </c>
      <c r="K92" s="261"/>
      <c r="L92" s="2154">
        <f>ROUND(SUM(L90+L88+L54),1)</f>
        <v>2507.3000000000002</v>
      </c>
      <c r="M92" s="261"/>
      <c r="N92" s="275">
        <f>ROUND(SUM(N90+N88+N54),1)</f>
        <v>5364.6</v>
      </c>
      <c r="O92" s="2154"/>
      <c r="P92" s="275">
        <f>ROUND(SUM(P90+P88+P54),1)</f>
        <v>3082.1</v>
      </c>
      <c r="Q92" s="2154"/>
      <c r="R92" s="275">
        <f>ROUND(SUM(R90+R88+R54),1)</f>
        <v>0</v>
      </c>
      <c r="S92" s="2154"/>
      <c r="T92" s="275">
        <f>ROUND(SUM(T90+T88+T54),1)</f>
        <v>0</v>
      </c>
      <c r="U92" s="2154"/>
      <c r="V92" s="275">
        <f>ROUND(SUM(V90+V88+V54),1)</f>
        <v>0</v>
      </c>
      <c r="W92" s="2154"/>
      <c r="X92" s="275">
        <f>ROUND(SUM(X90+X88+X54),1)</f>
        <v>0</v>
      </c>
      <c r="Y92" s="2154"/>
      <c r="Z92" s="275">
        <f>ROUND(SUM(Z90+Z88+Z54),1)</f>
        <v>0</v>
      </c>
      <c r="AA92" s="482"/>
      <c r="AB92" s="483"/>
      <c r="AC92" s="275">
        <f>ROUND(SUM(AC90+AC88+AC54),1)</f>
        <v>30137</v>
      </c>
      <c r="AD92" s="261"/>
      <c r="AE92" s="263"/>
      <c r="AF92" s="318">
        <f>ROUND(SUM(AF90+AF88+AF54),1)</f>
        <v>26370.1</v>
      </c>
      <c r="AG92" s="277"/>
      <c r="AH92" s="1322"/>
      <c r="AI92" s="275">
        <f>ROUND(SUM(AI90+AI88+AI54),1)</f>
        <v>3766.9</v>
      </c>
      <c r="AJ92" s="277"/>
      <c r="AK92" s="530">
        <f>ROUND(SUM(+AI92/AF92),3)</f>
        <v>0.14299999999999999</v>
      </c>
    </row>
    <row r="93" spans="1:37" ht="15" customHeight="1">
      <c r="A93" s="357"/>
      <c r="B93" s="227"/>
      <c r="C93" s="226"/>
      <c r="D93" s="253"/>
      <c r="E93" s="265"/>
      <c r="F93" s="253"/>
      <c r="G93" s="265"/>
      <c r="H93" s="253"/>
      <c r="I93" s="265"/>
      <c r="J93" s="266"/>
      <c r="K93" s="265"/>
      <c r="L93" s="293"/>
      <c r="M93" s="265"/>
      <c r="N93" s="253"/>
      <c r="O93" s="265"/>
      <c r="P93" s="253"/>
      <c r="Q93" s="265"/>
      <c r="R93" s="253"/>
      <c r="S93" s="265"/>
      <c r="T93" s="253"/>
      <c r="U93" s="265"/>
      <c r="V93" s="253"/>
      <c r="W93" s="265"/>
      <c r="X93" s="253"/>
      <c r="Y93" s="265"/>
      <c r="Z93" s="253"/>
      <c r="AA93" s="257"/>
      <c r="AB93" s="241"/>
      <c r="AC93" s="253"/>
      <c r="AD93" s="265"/>
      <c r="AE93" s="254"/>
      <c r="AF93" s="266"/>
      <c r="AG93" s="253"/>
      <c r="AH93" s="1320"/>
      <c r="AI93" s="1214"/>
      <c r="AJ93" s="2176"/>
      <c r="AK93" s="2201"/>
    </row>
    <row r="94" spans="1:37" ht="15" customHeight="1">
      <c r="A94" s="357"/>
      <c r="B94" s="225" t="s">
        <v>24</v>
      </c>
      <c r="C94" s="226"/>
      <c r="D94" s="265"/>
      <c r="E94" s="265"/>
      <c r="F94" s="265"/>
      <c r="G94" s="265"/>
      <c r="H94" s="265"/>
      <c r="I94" s="265"/>
      <c r="J94" s="323"/>
      <c r="K94" s="265"/>
      <c r="L94" s="265"/>
      <c r="M94" s="265"/>
      <c r="N94" s="265"/>
      <c r="O94" s="265"/>
      <c r="P94" s="265"/>
      <c r="Q94" s="265"/>
      <c r="R94" s="265"/>
      <c r="S94" s="265"/>
      <c r="T94" s="265"/>
      <c r="U94" s="265"/>
      <c r="V94" s="265"/>
      <c r="W94" s="265"/>
      <c r="X94" s="265"/>
      <c r="Y94" s="265"/>
      <c r="Z94" s="265"/>
      <c r="AA94" s="372"/>
      <c r="AB94" s="241"/>
      <c r="AC94" s="265"/>
      <c r="AD94" s="265"/>
      <c r="AE94" s="254"/>
      <c r="AF94" s="323"/>
      <c r="AG94" s="265"/>
      <c r="AH94" s="1320"/>
      <c r="AI94" s="1214"/>
      <c r="AJ94" s="2176"/>
      <c r="AK94" s="2201"/>
    </row>
    <row r="95" spans="1:37" ht="15" customHeight="1">
      <c r="A95" s="357"/>
      <c r="B95" s="227" t="s">
        <v>159</v>
      </c>
      <c r="C95" s="226"/>
      <c r="D95" s="253"/>
      <c r="E95" s="253"/>
      <c r="F95" s="253"/>
      <c r="G95" s="253"/>
      <c r="H95" s="253"/>
      <c r="I95" s="253"/>
      <c r="J95" s="266"/>
      <c r="K95" s="253"/>
      <c r="L95" s="253"/>
      <c r="M95" s="253"/>
      <c r="N95" s="253"/>
      <c r="O95" s="253"/>
      <c r="P95" s="253"/>
      <c r="Q95" s="253"/>
      <c r="R95" s="253"/>
      <c r="S95" s="253"/>
      <c r="T95" s="253"/>
      <c r="U95" s="253"/>
      <c r="V95" s="253"/>
      <c r="W95" s="253"/>
      <c r="X95" s="253"/>
      <c r="Y95" s="253"/>
      <c r="Z95" s="253"/>
      <c r="AA95" s="372"/>
      <c r="AB95" s="241"/>
      <c r="AC95" s="265"/>
      <c r="AD95" s="265"/>
      <c r="AE95" s="254"/>
      <c r="AF95" s="2418"/>
      <c r="AG95" s="1324"/>
      <c r="AH95" s="1320"/>
      <c r="AI95" s="1214"/>
      <c r="AJ95" s="2176"/>
      <c r="AK95" s="2201"/>
    </row>
    <row r="96" spans="1:37" ht="15" customHeight="1">
      <c r="A96" s="357"/>
      <c r="B96" s="386" t="s">
        <v>26</v>
      </c>
      <c r="C96" s="226"/>
      <c r="D96" s="268">
        <v>316.7</v>
      </c>
      <c r="E96" s="253"/>
      <c r="F96" s="253">
        <v>3022.2</v>
      </c>
      <c r="G96" s="253"/>
      <c r="H96" s="253">
        <v>2323.1999999999998</v>
      </c>
      <c r="I96" s="253"/>
      <c r="J96" s="2418">
        <v>890.4</v>
      </c>
      <c r="K96" s="253"/>
      <c r="L96" s="2176">
        <v>869</v>
      </c>
      <c r="M96" s="253"/>
      <c r="N96" s="253">
        <v>2246.8000000000002</v>
      </c>
      <c r="O96" s="253"/>
      <c r="P96" s="253">
        <v>1301.8</v>
      </c>
      <c r="Q96" s="253"/>
      <c r="R96" s="268"/>
      <c r="S96" s="253"/>
      <c r="T96" s="253"/>
      <c r="U96" s="253"/>
      <c r="V96" s="268"/>
      <c r="W96" s="253"/>
      <c r="X96" s="253"/>
      <c r="Y96" s="253"/>
      <c r="Z96" s="253"/>
      <c r="AA96" s="372"/>
      <c r="AB96" s="241"/>
      <c r="AC96" s="265">
        <f>ROUND(SUM(D96:Z96),1)</f>
        <v>10970.1</v>
      </c>
      <c r="AD96" s="265"/>
      <c r="AE96" s="254"/>
      <c r="AF96" s="2247">
        <v>9744.7999999999993</v>
      </c>
      <c r="AG96" s="1324"/>
      <c r="AH96" s="1320"/>
      <c r="AI96" s="1214">
        <f>ROUND(SUM(+AC96-AF96),1)</f>
        <v>1225.3</v>
      </c>
      <c r="AJ96" s="2176"/>
      <c r="AK96" s="2040">
        <f>ROUND(IF(AF96=0,0,AI96/(AF96)),3)</f>
        <v>0.126</v>
      </c>
    </row>
    <row r="97" spans="1:37" ht="15" customHeight="1">
      <c r="A97" s="357"/>
      <c r="B97" s="386" t="s">
        <v>27</v>
      </c>
      <c r="C97" s="226"/>
      <c r="D97" s="268">
        <v>0.2</v>
      </c>
      <c r="E97" s="265"/>
      <c r="F97" s="265">
        <v>0.1</v>
      </c>
      <c r="G97" s="265"/>
      <c r="H97" s="265">
        <v>0.1</v>
      </c>
      <c r="I97" s="265"/>
      <c r="J97" s="323">
        <v>2</v>
      </c>
      <c r="K97" s="265"/>
      <c r="L97" s="1214">
        <v>1.3</v>
      </c>
      <c r="M97" s="265"/>
      <c r="N97" s="265">
        <v>0</v>
      </c>
      <c r="O97" s="265"/>
      <c r="P97" s="265">
        <v>0.2</v>
      </c>
      <c r="Q97" s="265"/>
      <c r="R97" s="1215"/>
      <c r="S97" s="265"/>
      <c r="T97" s="1215"/>
      <c r="U97" s="265"/>
      <c r="V97" s="265"/>
      <c r="W97" s="265"/>
      <c r="X97" s="265"/>
      <c r="Y97" s="265"/>
      <c r="Z97" s="265"/>
      <c r="AA97" s="372"/>
      <c r="AB97" s="241"/>
      <c r="AC97" s="265">
        <f t="shared" ref="AC97:AC104" si="10">ROUND(SUM(D97:Z97),1)</f>
        <v>3.9</v>
      </c>
      <c r="AD97" s="265"/>
      <c r="AE97" s="254"/>
      <c r="AF97" s="1214">
        <v>5</v>
      </c>
      <c r="AG97" s="265"/>
      <c r="AH97" s="1320"/>
      <c r="AI97" s="1214">
        <f t="shared" ref="AI97:AI105" si="11">ROUND(SUM(+AC97-AF97),1)</f>
        <v>-1.1000000000000001</v>
      </c>
      <c r="AJ97" s="2176"/>
      <c r="AK97" s="2040">
        <f>ROUND(IF(AF97=0,0,AI97/(AF97)),3)</f>
        <v>-0.22</v>
      </c>
    </row>
    <row r="98" spans="1:37" ht="15" customHeight="1">
      <c r="A98" s="357"/>
      <c r="B98" s="386" t="s">
        <v>28</v>
      </c>
      <c r="C98" s="226"/>
      <c r="D98" s="268">
        <v>2.1</v>
      </c>
      <c r="E98" s="265"/>
      <c r="F98" s="265">
        <v>14.3</v>
      </c>
      <c r="G98" s="265"/>
      <c r="H98" s="265">
        <v>561.1</v>
      </c>
      <c r="I98" s="265"/>
      <c r="J98" s="323">
        <v>5.3</v>
      </c>
      <c r="K98" s="265"/>
      <c r="L98" s="1214">
        <v>2.1</v>
      </c>
      <c r="M98" s="265"/>
      <c r="N98" s="265">
        <v>135.5</v>
      </c>
      <c r="O98" s="265"/>
      <c r="P98" s="265">
        <v>10.1</v>
      </c>
      <c r="Q98" s="265"/>
      <c r="R98" s="265"/>
      <c r="S98" s="265"/>
      <c r="T98" s="265"/>
      <c r="U98" s="265"/>
      <c r="V98" s="265"/>
      <c r="W98" s="265"/>
      <c r="X98" s="265"/>
      <c r="Y98" s="265"/>
      <c r="Z98" s="265"/>
      <c r="AA98" s="372"/>
      <c r="AB98" s="241"/>
      <c r="AC98" s="265">
        <f t="shared" si="10"/>
        <v>730.5</v>
      </c>
      <c r="AD98" s="265"/>
      <c r="AE98" s="254"/>
      <c r="AF98" s="1982">
        <v>719.6</v>
      </c>
      <c r="AG98" s="265"/>
      <c r="AH98" s="1320"/>
      <c r="AI98" s="1214">
        <f t="shared" si="11"/>
        <v>10.9</v>
      </c>
      <c r="AJ98" s="2176"/>
      <c r="AK98" s="2040">
        <f>ROUND(IF(AF98=0,0,AI98/(AF98)),3)</f>
        <v>1.4999999999999999E-2</v>
      </c>
    </row>
    <row r="99" spans="1:37" ht="15" customHeight="1">
      <c r="A99" s="357"/>
      <c r="B99" s="386" t="s">
        <v>29</v>
      </c>
      <c r="C99" s="226"/>
      <c r="D99" s="268"/>
      <c r="E99" s="265"/>
      <c r="F99" s="265"/>
      <c r="G99" s="265"/>
      <c r="H99" s="265"/>
      <c r="I99" s="265"/>
      <c r="J99" s="323"/>
      <c r="K99" s="265"/>
      <c r="L99" s="1214"/>
      <c r="M99" s="265"/>
      <c r="N99" s="265"/>
      <c r="O99" s="265"/>
      <c r="P99" s="265"/>
      <c r="Q99" s="265"/>
      <c r="R99" s="265"/>
      <c r="S99" s="265"/>
      <c r="T99" s="265"/>
      <c r="U99" s="265"/>
      <c r="V99" s="265"/>
      <c r="W99" s="265"/>
      <c r="X99" s="265"/>
      <c r="Y99" s="265"/>
      <c r="Z99" s="265"/>
      <c r="AA99" s="372"/>
      <c r="AB99" s="241"/>
      <c r="AC99" s="1214" t="s">
        <v>16</v>
      </c>
      <c r="AD99" s="265"/>
      <c r="AE99" s="254"/>
      <c r="AF99" s="1982"/>
      <c r="AG99" s="265"/>
      <c r="AH99" s="1320"/>
      <c r="AI99" s="1214" t="s">
        <v>16</v>
      </c>
      <c r="AJ99" s="2176"/>
      <c r="AK99" s="2201" t="s">
        <v>16</v>
      </c>
    </row>
    <row r="100" spans="1:37" ht="15" customHeight="1">
      <c r="A100" s="357"/>
      <c r="B100" s="1864" t="s">
        <v>30</v>
      </c>
      <c r="C100" s="226"/>
      <c r="D100" s="268">
        <v>1097.2</v>
      </c>
      <c r="E100" s="265"/>
      <c r="F100" s="265">
        <v>1006.4</v>
      </c>
      <c r="G100" s="265"/>
      <c r="H100" s="265">
        <v>1183</v>
      </c>
      <c r="I100" s="265"/>
      <c r="J100" s="323">
        <v>1151</v>
      </c>
      <c r="K100" s="265"/>
      <c r="L100" s="1214">
        <v>769.2</v>
      </c>
      <c r="M100" s="265"/>
      <c r="N100" s="265">
        <v>996.3</v>
      </c>
      <c r="O100" s="265"/>
      <c r="P100" s="265">
        <v>1009.2</v>
      </c>
      <c r="Q100" s="265"/>
      <c r="R100" s="265"/>
      <c r="S100" s="265"/>
      <c r="T100" s="265"/>
      <c r="U100" s="265"/>
      <c r="V100" s="265"/>
      <c r="W100" s="265"/>
      <c r="X100" s="265"/>
      <c r="Y100" s="265"/>
      <c r="Z100" s="265"/>
      <c r="AA100" s="372"/>
      <c r="AB100" s="241"/>
      <c r="AC100" s="265">
        <f t="shared" si="10"/>
        <v>7212.3</v>
      </c>
      <c r="AD100" s="265"/>
      <c r="AE100" s="254"/>
      <c r="AF100" s="1982">
        <v>7165.2</v>
      </c>
      <c r="AG100" s="265"/>
      <c r="AH100" s="1320"/>
      <c r="AI100" s="1214">
        <f t="shared" si="11"/>
        <v>47.1</v>
      </c>
      <c r="AJ100" s="2176"/>
      <c r="AK100" s="2040">
        <f t="shared" ref="AK100:AK105" si="12">ROUND(IF(AF100=0,0,AI100/(AF100)),3)</f>
        <v>7.0000000000000001E-3</v>
      </c>
    </row>
    <row r="101" spans="1:37" ht="15" customHeight="1">
      <c r="A101" s="357"/>
      <c r="B101" s="386" t="s">
        <v>31</v>
      </c>
      <c r="C101" s="226"/>
      <c r="D101" s="268">
        <v>7.2</v>
      </c>
      <c r="E101" s="265"/>
      <c r="F101" s="265">
        <v>85.9</v>
      </c>
      <c r="G101" s="265"/>
      <c r="H101" s="265">
        <v>121.1</v>
      </c>
      <c r="I101" s="265"/>
      <c r="J101" s="323">
        <v>71.099999999999994</v>
      </c>
      <c r="K101" s="265"/>
      <c r="L101" s="1214">
        <v>85.7</v>
      </c>
      <c r="M101" s="265"/>
      <c r="N101" s="265">
        <v>57.5</v>
      </c>
      <c r="O101" s="265"/>
      <c r="P101" s="265">
        <v>43.4</v>
      </c>
      <c r="Q101" s="265"/>
      <c r="R101" s="265"/>
      <c r="S101" s="265"/>
      <c r="T101" s="265"/>
      <c r="U101" s="265"/>
      <c r="V101" s="265"/>
      <c r="W101" s="265"/>
      <c r="X101" s="265"/>
      <c r="Y101" s="265"/>
      <c r="Z101" s="265"/>
      <c r="AA101" s="372"/>
      <c r="AB101" s="241"/>
      <c r="AC101" s="265">
        <f t="shared" si="10"/>
        <v>471.9</v>
      </c>
      <c r="AD101" s="265"/>
      <c r="AE101" s="254"/>
      <c r="AF101" s="1982">
        <v>377</v>
      </c>
      <c r="AG101" s="265"/>
      <c r="AH101" s="1320"/>
      <c r="AI101" s="1214">
        <f t="shared" si="11"/>
        <v>94.9</v>
      </c>
      <c r="AJ101" s="2176"/>
      <c r="AK101" s="2040">
        <f t="shared" si="12"/>
        <v>0.252</v>
      </c>
    </row>
    <row r="102" spans="1:37" ht="15" customHeight="1">
      <c r="A102" s="357"/>
      <c r="B102" s="386" t="s">
        <v>32</v>
      </c>
      <c r="C102" s="226"/>
      <c r="D102" s="268">
        <v>10</v>
      </c>
      <c r="E102" s="265"/>
      <c r="F102" s="265">
        <v>14.8</v>
      </c>
      <c r="G102" s="265"/>
      <c r="H102" s="265">
        <v>9.8000000000000007</v>
      </c>
      <c r="I102" s="265"/>
      <c r="J102" s="323">
        <v>13.4</v>
      </c>
      <c r="K102" s="265"/>
      <c r="L102" s="1214">
        <v>8.9</v>
      </c>
      <c r="M102" s="265"/>
      <c r="N102" s="265">
        <v>27.4</v>
      </c>
      <c r="O102" s="265"/>
      <c r="P102" s="265">
        <v>5.9</v>
      </c>
      <c r="Q102" s="265"/>
      <c r="R102" s="265"/>
      <c r="S102" s="265"/>
      <c r="T102" s="265"/>
      <c r="U102" s="265"/>
      <c r="V102" s="265"/>
      <c r="W102" s="265"/>
      <c r="X102" s="265"/>
      <c r="Y102" s="265"/>
      <c r="Z102" s="265"/>
      <c r="AA102" s="372"/>
      <c r="AB102" s="241"/>
      <c r="AC102" s="265">
        <f t="shared" si="10"/>
        <v>90.2</v>
      </c>
      <c r="AD102" s="265"/>
      <c r="AE102" s="254"/>
      <c r="AF102" s="1214">
        <v>108.1</v>
      </c>
      <c r="AG102" s="265"/>
      <c r="AH102" s="1320" t="s">
        <v>16</v>
      </c>
      <c r="AI102" s="1214">
        <f t="shared" si="11"/>
        <v>-17.899999999999999</v>
      </c>
      <c r="AJ102" s="2176"/>
      <c r="AK102" s="2040">
        <f t="shared" si="12"/>
        <v>-0.16600000000000001</v>
      </c>
    </row>
    <row r="103" spans="1:37" ht="15" customHeight="1">
      <c r="A103" s="357"/>
      <c r="B103" s="386" t="s">
        <v>33</v>
      </c>
      <c r="C103" s="226"/>
      <c r="D103" s="268">
        <v>127.8</v>
      </c>
      <c r="E103" s="265"/>
      <c r="F103" s="265">
        <v>202.4</v>
      </c>
      <c r="G103" s="265"/>
      <c r="H103" s="265">
        <v>236.7</v>
      </c>
      <c r="I103" s="265"/>
      <c r="J103" s="323">
        <v>254.3</v>
      </c>
      <c r="K103" s="265"/>
      <c r="L103" s="1214">
        <v>154.1</v>
      </c>
      <c r="M103" s="265"/>
      <c r="N103" s="265">
        <v>243.7</v>
      </c>
      <c r="O103" s="265"/>
      <c r="P103" s="265">
        <v>266.39999999999998</v>
      </c>
      <c r="Q103" s="265"/>
      <c r="R103" s="265"/>
      <c r="S103" s="265"/>
      <c r="T103" s="265"/>
      <c r="U103" s="265"/>
      <c r="V103" s="265"/>
      <c r="W103" s="265"/>
      <c r="X103" s="265"/>
      <c r="Y103" s="265"/>
      <c r="Z103" s="265"/>
      <c r="AA103" s="372"/>
      <c r="AB103" s="241"/>
      <c r="AC103" s="265">
        <f t="shared" si="10"/>
        <v>1485.4</v>
      </c>
      <c r="AD103" s="265"/>
      <c r="AE103" s="254"/>
      <c r="AF103" s="1214">
        <v>1598.7</v>
      </c>
      <c r="AG103" s="265"/>
      <c r="AH103" s="1320"/>
      <c r="AI103" s="1214">
        <f t="shared" si="11"/>
        <v>-113.3</v>
      </c>
      <c r="AJ103" s="2176"/>
      <c r="AK103" s="2040">
        <f t="shared" si="12"/>
        <v>-7.0999999999999994E-2</v>
      </c>
    </row>
    <row r="104" spans="1:37" ht="15" customHeight="1">
      <c r="A104" s="357"/>
      <c r="B104" s="386" t="s">
        <v>34</v>
      </c>
      <c r="C104" s="226"/>
      <c r="D104" s="258">
        <v>7.5</v>
      </c>
      <c r="E104" s="265"/>
      <c r="F104" s="522">
        <v>6.3</v>
      </c>
      <c r="G104" s="265"/>
      <c r="H104" s="265">
        <v>7.3</v>
      </c>
      <c r="I104" s="265"/>
      <c r="J104" s="323">
        <v>8.6</v>
      </c>
      <c r="K104" s="265"/>
      <c r="L104" s="1214">
        <v>4.5</v>
      </c>
      <c r="M104" s="265"/>
      <c r="N104" s="521">
        <v>7.4</v>
      </c>
      <c r="O104" s="265"/>
      <c r="P104" s="265">
        <v>7.2</v>
      </c>
      <c r="Q104" s="265"/>
      <c r="R104" s="265"/>
      <c r="S104" s="265"/>
      <c r="T104" s="265"/>
      <c r="U104" s="265"/>
      <c r="V104" s="521"/>
      <c r="W104" s="265"/>
      <c r="X104" s="265"/>
      <c r="Y104" s="265"/>
      <c r="Z104" s="265"/>
      <c r="AA104" s="372"/>
      <c r="AB104" s="241"/>
      <c r="AC104" s="265">
        <f t="shared" si="10"/>
        <v>48.8</v>
      </c>
      <c r="AD104" s="265"/>
      <c r="AE104" s="254"/>
      <c r="AF104" s="2247">
        <v>49.2</v>
      </c>
      <c r="AG104" s="265"/>
      <c r="AH104" s="1320"/>
      <c r="AI104" s="1214">
        <f t="shared" si="11"/>
        <v>-0.4</v>
      </c>
      <c r="AJ104" s="2176"/>
      <c r="AK104" s="2040">
        <f t="shared" si="12"/>
        <v>-8.0000000000000002E-3</v>
      </c>
    </row>
    <row r="105" spans="1:37" ht="15" customHeight="1">
      <c r="A105" s="357"/>
      <c r="B105" s="386" t="s">
        <v>35</v>
      </c>
      <c r="C105" s="226"/>
      <c r="D105" s="1215">
        <v>0</v>
      </c>
      <c r="E105" s="265"/>
      <c r="F105" s="522">
        <v>23.8</v>
      </c>
      <c r="G105" s="265"/>
      <c r="H105" s="265">
        <v>0</v>
      </c>
      <c r="I105" s="265"/>
      <c r="J105" s="2419">
        <v>0</v>
      </c>
      <c r="K105" s="265"/>
      <c r="L105" s="1214">
        <v>24.9</v>
      </c>
      <c r="M105" s="265"/>
      <c r="N105" s="265">
        <v>0</v>
      </c>
      <c r="O105" s="265"/>
      <c r="P105" s="1215">
        <v>0</v>
      </c>
      <c r="Q105" s="265"/>
      <c r="R105" s="265"/>
      <c r="S105" s="265"/>
      <c r="T105" s="265"/>
      <c r="U105" s="265"/>
      <c r="V105" s="265"/>
      <c r="W105" s="265"/>
      <c r="X105" s="265"/>
      <c r="Y105" s="265"/>
      <c r="Z105" s="265"/>
      <c r="AA105" s="372"/>
      <c r="AB105" s="241"/>
      <c r="AC105" s="265">
        <f>ROUND(SUM(D105:Z105),1)</f>
        <v>48.7</v>
      </c>
      <c r="AD105" s="270"/>
      <c r="AE105" s="1325"/>
      <c r="AF105" s="1404">
        <v>48.8</v>
      </c>
      <c r="AG105" s="270"/>
      <c r="AH105" s="1326"/>
      <c r="AI105" s="1214">
        <f t="shared" si="11"/>
        <v>-0.1</v>
      </c>
      <c r="AJ105" s="2641"/>
      <c r="AK105" s="2040">
        <f t="shared" si="12"/>
        <v>-2E-3</v>
      </c>
    </row>
    <row r="106" spans="1:37" ht="15" customHeight="1">
      <c r="A106" s="357"/>
      <c r="B106" s="1407" t="s">
        <v>1349</v>
      </c>
      <c r="C106" s="226"/>
      <c r="D106" s="489">
        <f>ROUND(SUM(D96:D105),1)</f>
        <v>1568.7</v>
      </c>
      <c r="E106" s="261"/>
      <c r="F106" s="489">
        <f>ROUND(SUM(F96:F105),1)</f>
        <v>4376.2</v>
      </c>
      <c r="G106" s="261"/>
      <c r="H106" s="489">
        <f>ROUND(SUM(H96:H105),1)</f>
        <v>4442.3</v>
      </c>
      <c r="I106" s="277" t="s">
        <v>16</v>
      </c>
      <c r="J106" s="1327">
        <f>ROUND(SUM(J96:J105),1)</f>
        <v>2396.1</v>
      </c>
      <c r="K106" s="277" t="s">
        <v>16</v>
      </c>
      <c r="L106" s="489">
        <f>ROUND(SUM(L96:L105),1)</f>
        <v>1919.7</v>
      </c>
      <c r="M106" s="277" t="s">
        <v>16</v>
      </c>
      <c r="N106" s="489">
        <f>ROUND(SUM(N96:N105),1)</f>
        <v>3714.6</v>
      </c>
      <c r="O106" s="277" t="s">
        <v>16</v>
      </c>
      <c r="P106" s="489">
        <f>ROUND(SUM(P96:P105),1)</f>
        <v>2644.2</v>
      </c>
      <c r="Q106" s="277" t="s">
        <v>16</v>
      </c>
      <c r="R106" s="489">
        <f>ROUND(SUM(R96:R105),1)</f>
        <v>0</v>
      </c>
      <c r="S106" s="277" t="s">
        <v>16</v>
      </c>
      <c r="T106" s="489">
        <f>ROUND(SUM(T96:T105),1)</f>
        <v>0</v>
      </c>
      <c r="U106" s="277" t="s">
        <v>16</v>
      </c>
      <c r="V106" s="489">
        <f>ROUND(SUM(V96:V105),1)</f>
        <v>0</v>
      </c>
      <c r="W106" s="277" t="s">
        <v>16</v>
      </c>
      <c r="X106" s="489">
        <f>ROUND(SUM(X96:X105),1)</f>
        <v>0</v>
      </c>
      <c r="Y106" s="277" t="s">
        <v>16</v>
      </c>
      <c r="Z106" s="489">
        <f>ROUND(SUM(Z96:Z105),1)</f>
        <v>0</v>
      </c>
      <c r="AA106" s="373" t="s">
        <v>16</v>
      </c>
      <c r="AB106" s="490"/>
      <c r="AC106" s="1327">
        <f>SUM(AC96:AC105)</f>
        <v>21061.800000000003</v>
      </c>
      <c r="AD106" s="261"/>
      <c r="AE106" s="263"/>
      <c r="AF106" s="1327">
        <f>ROUND(SUM(AF96:AF105),1)</f>
        <v>19816.400000000001</v>
      </c>
      <c r="AG106" s="277"/>
      <c r="AH106" s="1322"/>
      <c r="AI106" s="489">
        <f>ROUND(SUM(+AC106-AF106),1)</f>
        <v>1245.4000000000001</v>
      </c>
      <c r="AJ106" s="277"/>
      <c r="AK106" s="3151">
        <f>ROUND(SUM(AI106/AF106),3)</f>
        <v>6.3E-2</v>
      </c>
    </row>
    <row r="107" spans="1:37" ht="15" customHeight="1">
      <c r="A107" s="357"/>
      <c r="B107" s="227" t="s">
        <v>160</v>
      </c>
      <c r="C107" s="226"/>
      <c r="D107" s="265"/>
      <c r="E107" s="265"/>
      <c r="F107" s="265"/>
      <c r="G107" s="265"/>
      <c r="H107" s="265"/>
      <c r="I107" s="265"/>
      <c r="J107" s="323"/>
      <c r="K107" s="265"/>
      <c r="L107" s="265"/>
      <c r="M107" s="265"/>
      <c r="N107" s="265"/>
      <c r="O107" s="265"/>
      <c r="P107" s="265"/>
      <c r="Q107" s="265"/>
      <c r="R107" s="265"/>
      <c r="S107" s="265"/>
      <c r="T107" s="265"/>
      <c r="U107" s="265"/>
      <c r="V107" s="265"/>
      <c r="W107" s="265"/>
      <c r="X107" s="265"/>
      <c r="Y107" s="265"/>
      <c r="Z107" s="265"/>
      <c r="AA107" s="372"/>
      <c r="AB107" s="241"/>
      <c r="AC107" s="265"/>
      <c r="AD107" s="265"/>
      <c r="AE107" s="254"/>
      <c r="AF107" s="323"/>
      <c r="AG107" s="265"/>
      <c r="AH107" s="1320"/>
      <c r="AI107" s="1214"/>
      <c r="AJ107" s="2176"/>
      <c r="AK107" s="2201"/>
    </row>
    <row r="108" spans="1:37" ht="15" customHeight="1">
      <c r="A108" s="357"/>
      <c r="B108" s="227" t="s">
        <v>161</v>
      </c>
      <c r="C108" s="226"/>
      <c r="D108" s="265">
        <v>447.4</v>
      </c>
      <c r="E108" s="265"/>
      <c r="F108" s="265">
        <v>528.9</v>
      </c>
      <c r="G108" s="265"/>
      <c r="H108" s="265">
        <v>447.4</v>
      </c>
      <c r="I108" s="265"/>
      <c r="J108" s="323">
        <v>601.9</v>
      </c>
      <c r="K108" s="265"/>
      <c r="L108" s="1214">
        <v>450.9</v>
      </c>
      <c r="M108" s="265"/>
      <c r="N108" s="265">
        <v>448.4</v>
      </c>
      <c r="O108" s="265"/>
      <c r="P108" s="265">
        <v>526.20000000000005</v>
      </c>
      <c r="Q108" s="265"/>
      <c r="R108" s="265"/>
      <c r="S108" s="265"/>
      <c r="T108" s="265"/>
      <c r="U108" s="265"/>
      <c r="V108" s="265"/>
      <c r="W108" s="265"/>
      <c r="X108" s="265"/>
      <c r="Y108" s="265"/>
      <c r="Z108" s="265"/>
      <c r="AA108" s="372"/>
      <c r="AB108" s="241"/>
      <c r="AC108" s="265">
        <f>ROUND(SUM(D108:Z108),1)</f>
        <v>3451.1</v>
      </c>
      <c r="AD108" s="265"/>
      <c r="AE108" s="254"/>
      <c r="AF108" s="1214">
        <v>3371</v>
      </c>
      <c r="AG108" s="265"/>
      <c r="AH108" s="1320"/>
      <c r="AI108" s="1214">
        <f>ROUND(SUM(+AC108-AF108),1)</f>
        <v>80.099999999999994</v>
      </c>
      <c r="AJ108" s="2176"/>
      <c r="AK108" s="2040">
        <f>ROUND(IF(AF108=0,0,AI108/(AF108)),3)</f>
        <v>2.4E-2</v>
      </c>
    </row>
    <row r="109" spans="1:37" ht="15" customHeight="1">
      <c r="A109" s="357"/>
      <c r="B109" s="251" t="s">
        <v>162</v>
      </c>
      <c r="C109" s="226"/>
      <c r="D109" s="265">
        <v>82.6</v>
      </c>
      <c r="E109" s="265"/>
      <c r="F109" s="265">
        <v>147.4</v>
      </c>
      <c r="G109" s="265"/>
      <c r="H109" s="265">
        <v>145.69999999999999</v>
      </c>
      <c r="I109" s="265"/>
      <c r="J109" s="323">
        <v>133</v>
      </c>
      <c r="K109" s="265"/>
      <c r="L109" s="1214">
        <v>150.5</v>
      </c>
      <c r="M109" s="265"/>
      <c r="N109" s="265">
        <v>148.30000000000001</v>
      </c>
      <c r="O109" s="265"/>
      <c r="P109" s="265">
        <v>171.3</v>
      </c>
      <c r="Q109" s="265"/>
      <c r="R109" s="265"/>
      <c r="S109" s="265"/>
      <c r="T109" s="265"/>
      <c r="U109" s="265"/>
      <c r="V109" s="265"/>
      <c r="W109" s="265"/>
      <c r="X109" s="265"/>
      <c r="Y109" s="265"/>
      <c r="Z109" s="265"/>
      <c r="AA109" s="372"/>
      <c r="AB109" s="241"/>
      <c r="AC109" s="265">
        <f>ROUND(SUM(D109:Z109),1)</f>
        <v>978.8</v>
      </c>
      <c r="AD109" s="265"/>
      <c r="AE109" s="254"/>
      <c r="AF109" s="1214">
        <v>915.5</v>
      </c>
      <c r="AG109" s="265"/>
      <c r="AH109" s="1320"/>
      <c r="AI109" s="1214">
        <f>ROUND(SUM(+AC109-AF109),1)</f>
        <v>63.3</v>
      </c>
      <c r="AJ109" s="2176"/>
      <c r="AK109" s="2040">
        <f>ROUND(IF(AF109=0,0,AI109/(AF109)),3)</f>
        <v>6.9000000000000006E-2</v>
      </c>
    </row>
    <row r="110" spans="1:37" ht="15" customHeight="1">
      <c r="A110" s="357"/>
      <c r="B110" s="251" t="s">
        <v>163</v>
      </c>
      <c r="C110" s="226"/>
      <c r="D110" s="265">
        <v>504.2</v>
      </c>
      <c r="E110" s="1216"/>
      <c r="F110" s="265">
        <v>647.4</v>
      </c>
      <c r="G110" s="1216"/>
      <c r="H110" s="265">
        <v>356.4</v>
      </c>
      <c r="I110" s="265"/>
      <c r="J110" s="323">
        <v>706.2</v>
      </c>
      <c r="K110" s="265"/>
      <c r="L110" s="1214">
        <v>147.1</v>
      </c>
      <c r="M110" s="265"/>
      <c r="N110" s="265">
        <v>1128.4000000000001</v>
      </c>
      <c r="O110" s="265"/>
      <c r="P110" s="265">
        <v>406.1</v>
      </c>
      <c r="Q110" s="265"/>
      <c r="R110" s="494"/>
      <c r="S110" s="265"/>
      <c r="T110" s="265"/>
      <c r="U110" s="265"/>
      <c r="V110" s="265"/>
      <c r="W110" s="265"/>
      <c r="X110" s="265"/>
      <c r="Y110" s="265"/>
      <c r="Z110" s="265"/>
      <c r="AA110" s="491"/>
      <c r="AB110" s="232"/>
      <c r="AC110" s="265">
        <f>ROUND(SUM(D110:Z110),1)</f>
        <v>3895.8</v>
      </c>
      <c r="AD110" s="265"/>
      <c r="AE110" s="254"/>
      <c r="AF110" s="1214">
        <v>3015.9</v>
      </c>
      <c r="AG110" s="253"/>
      <c r="AH110" s="1320"/>
      <c r="AI110" s="3150">
        <f>ROUND(SUM(+AC110-AF110),1)</f>
        <v>879.9</v>
      </c>
      <c r="AJ110" s="2176"/>
      <c r="AK110" s="2916">
        <f>ROUND(IF(AF110=0,0,AI110/(AF110)),3)</f>
        <v>0.29199999999999998</v>
      </c>
    </row>
    <row r="111" spans="1:37" ht="7.5" customHeight="1">
      <c r="A111" s="357"/>
      <c r="B111" s="227"/>
      <c r="C111" s="226"/>
      <c r="D111" s="293"/>
      <c r="E111" s="265"/>
      <c r="F111" s="293"/>
      <c r="G111" s="265"/>
      <c r="H111" s="293"/>
      <c r="I111" s="265"/>
      <c r="J111" s="332"/>
      <c r="K111" s="265"/>
      <c r="L111" s="293"/>
      <c r="M111" s="265"/>
      <c r="N111" s="293"/>
      <c r="O111" s="265"/>
      <c r="P111" s="293"/>
      <c r="Q111" s="265"/>
      <c r="R111" s="265"/>
      <c r="S111" s="265"/>
      <c r="T111" s="293"/>
      <c r="U111" s="265"/>
      <c r="V111" s="293"/>
      <c r="W111" s="265"/>
      <c r="X111" s="293"/>
      <c r="Y111" s="265"/>
      <c r="Z111" s="293"/>
      <c r="AA111" s="257"/>
      <c r="AB111" s="241"/>
      <c r="AC111" s="332"/>
      <c r="AD111" s="265"/>
      <c r="AE111" s="254"/>
      <c r="AF111" s="332"/>
      <c r="AG111" s="253"/>
      <c r="AH111" s="1320"/>
      <c r="AI111" s="1214"/>
      <c r="AJ111" s="2176"/>
      <c r="AK111" s="2201"/>
    </row>
    <row r="112" spans="1:37" ht="15" customHeight="1">
      <c r="A112" s="357"/>
      <c r="B112" s="225" t="s">
        <v>164</v>
      </c>
      <c r="C112" s="226"/>
      <c r="D112" s="261">
        <f>ROUND(SUM(D108:D110)+D106,1)</f>
        <v>2602.9</v>
      </c>
      <c r="E112" s="261"/>
      <c r="F112" s="261">
        <f>ROUND(SUM(F106:F110),1)</f>
        <v>5699.9</v>
      </c>
      <c r="G112" s="261"/>
      <c r="H112" s="261">
        <f>ROUND(SUM(H106:H110),1)</f>
        <v>5391.8</v>
      </c>
      <c r="I112" s="261"/>
      <c r="J112" s="317">
        <f>ROUND(SUM(J106:J110),1)</f>
        <v>3837.2</v>
      </c>
      <c r="K112" s="261"/>
      <c r="L112" s="261">
        <f>ROUND(SUM(L106:L110),1)</f>
        <v>2668.2</v>
      </c>
      <c r="M112" s="261"/>
      <c r="N112" s="2154">
        <f>ROUND(SUM(N106:N110),1)</f>
        <v>5439.7</v>
      </c>
      <c r="O112" s="2154"/>
      <c r="P112" s="2154">
        <f>ROUND(SUM(P106:P110),1)</f>
        <v>3747.8</v>
      </c>
      <c r="Q112" s="2154"/>
      <c r="R112" s="2154">
        <f>ROUND(SUM(R106:R110),1)</f>
        <v>0</v>
      </c>
      <c r="S112" s="2154"/>
      <c r="T112" s="2154">
        <f>ROUND(SUM(T106:T110),1)</f>
        <v>0</v>
      </c>
      <c r="U112" s="2154"/>
      <c r="V112" s="2154">
        <f>ROUND(SUM(V106:V110),1)</f>
        <v>0</v>
      </c>
      <c r="W112" s="2154"/>
      <c r="X112" s="2154">
        <f>ROUND(SUM(X106:X110),1)</f>
        <v>0</v>
      </c>
      <c r="Y112" s="2154"/>
      <c r="Z112" s="2154">
        <f>ROUND(SUM(Z106:Z110),1)</f>
        <v>0</v>
      </c>
      <c r="AA112" s="482"/>
      <c r="AB112" s="483"/>
      <c r="AC112" s="317">
        <f>ROUND(SUM(AC106:AC110),1)</f>
        <v>29387.5</v>
      </c>
      <c r="AD112" s="261"/>
      <c r="AE112" s="263"/>
      <c r="AF112" s="317">
        <f>ROUND(SUM(AF106:AF110),1)</f>
        <v>27118.799999999999</v>
      </c>
      <c r="AG112" s="277"/>
      <c r="AH112" s="1322"/>
      <c r="AI112" s="2460">
        <f>ROUND(SUM(AI106:AI110),1)</f>
        <v>2268.6999999999998</v>
      </c>
      <c r="AJ112" s="277"/>
      <c r="AK112" s="3152">
        <f>ROUND(SUM(AI112/AF112),3)</f>
        <v>8.4000000000000005E-2</v>
      </c>
    </row>
    <row r="113" spans="1:37" ht="15" customHeight="1">
      <c r="A113" s="357"/>
      <c r="B113" s="227"/>
      <c r="C113" s="226"/>
      <c r="D113" s="293"/>
      <c r="E113" s="265"/>
      <c r="F113" s="293"/>
      <c r="G113" s="265"/>
      <c r="H113" s="293"/>
      <c r="I113" s="265"/>
      <c r="J113" s="332"/>
      <c r="K113" s="265"/>
      <c r="L113" s="293"/>
      <c r="M113" s="265"/>
      <c r="N113" s="293"/>
      <c r="O113" s="265"/>
      <c r="P113" s="293"/>
      <c r="Q113" s="265"/>
      <c r="R113" s="293"/>
      <c r="S113" s="265"/>
      <c r="T113" s="293"/>
      <c r="U113" s="265"/>
      <c r="V113" s="293"/>
      <c r="W113" s="265"/>
      <c r="X113" s="293"/>
      <c r="Y113" s="265"/>
      <c r="Z113" s="293"/>
      <c r="AA113" s="257"/>
      <c r="AB113" s="241"/>
      <c r="AC113" s="293"/>
      <c r="AD113" s="265"/>
      <c r="AE113" s="254"/>
      <c r="AF113" s="332"/>
      <c r="AG113" s="253"/>
      <c r="AH113" s="1320"/>
      <c r="AI113" s="1214"/>
      <c r="AJ113" s="2176"/>
      <c r="AK113" s="2201"/>
    </row>
    <row r="114" spans="1:37" ht="15" customHeight="1">
      <c r="A114" s="357"/>
      <c r="B114" s="225" t="s">
        <v>165</v>
      </c>
      <c r="C114" s="226"/>
      <c r="D114" s="265"/>
      <c r="E114" s="265"/>
      <c r="F114" s="265"/>
      <c r="G114" s="265"/>
      <c r="H114" s="265"/>
      <c r="I114" s="265"/>
      <c r="J114" s="323"/>
      <c r="K114" s="265"/>
      <c r="L114" s="265"/>
      <c r="M114" s="265"/>
      <c r="N114" s="265"/>
      <c r="O114" s="265"/>
      <c r="P114" s="265"/>
      <c r="Q114" s="265"/>
      <c r="R114" s="265"/>
      <c r="S114" s="265"/>
      <c r="T114" s="265"/>
      <c r="U114" s="265"/>
      <c r="V114" s="265"/>
      <c r="W114" s="265"/>
      <c r="X114" s="265"/>
      <c r="Y114" s="265"/>
      <c r="Z114" s="265"/>
      <c r="AA114" s="372"/>
      <c r="AB114" s="241"/>
      <c r="AC114" s="265" t="s">
        <v>166</v>
      </c>
      <c r="AD114" s="265"/>
      <c r="AE114" s="254"/>
      <c r="AF114" s="323"/>
      <c r="AG114" s="265"/>
      <c r="AH114" s="1320"/>
      <c r="AI114" s="1214"/>
      <c r="AJ114" s="2176"/>
      <c r="AK114" s="2201"/>
    </row>
    <row r="115" spans="1:37" ht="15" customHeight="1">
      <c r="A115" s="357"/>
      <c r="B115" s="225" t="s">
        <v>46</v>
      </c>
      <c r="C115" s="226"/>
      <c r="D115" s="261">
        <f>ROUND(SUM(D92-D112),1)</f>
        <v>2327.3000000000002</v>
      </c>
      <c r="E115" s="261"/>
      <c r="F115" s="261">
        <f>ROUND(SUM(F92-F112),1)</f>
        <v>-1327</v>
      </c>
      <c r="G115" s="261"/>
      <c r="H115" s="261">
        <f>ROUND(SUM(H92-H112),1)</f>
        <v>-507.4</v>
      </c>
      <c r="I115" s="261"/>
      <c r="J115" s="317">
        <f>ROUND(SUM(J92-J112),1)</f>
        <v>1158.3</v>
      </c>
      <c r="K115" s="261"/>
      <c r="L115" s="261">
        <f>ROUND(SUM(L92-L112),1)</f>
        <v>-160.9</v>
      </c>
      <c r="M115" s="261"/>
      <c r="N115" s="2154">
        <f>ROUND(SUM(N92-N112),1)</f>
        <v>-75.099999999999994</v>
      </c>
      <c r="O115" s="2154"/>
      <c r="P115" s="2154">
        <f>ROUND(SUM(P92-P112),1)</f>
        <v>-665.7</v>
      </c>
      <c r="Q115" s="2154"/>
      <c r="R115" s="2154">
        <f>ROUND(SUM(R92-R112),1)</f>
        <v>0</v>
      </c>
      <c r="S115" s="2154"/>
      <c r="T115" s="2154">
        <f>ROUND(SUM(T92-T112),1)</f>
        <v>0</v>
      </c>
      <c r="U115" s="2154"/>
      <c r="V115" s="2154">
        <f>ROUND(SUM(V92-V112),1)</f>
        <v>0</v>
      </c>
      <c r="W115" s="2154"/>
      <c r="X115" s="2154">
        <f>ROUND(SUM(X92-X112),1)</f>
        <v>0</v>
      </c>
      <c r="Y115" s="2154"/>
      <c r="Z115" s="2154">
        <f>ROUND(SUM(Z92-Z112),1)</f>
        <v>0</v>
      </c>
      <c r="AA115" s="482"/>
      <c r="AB115" s="483"/>
      <c r="AC115" s="261">
        <f>ROUND(SUM(AC92-AC112),1)</f>
        <v>749.5</v>
      </c>
      <c r="AD115" s="261"/>
      <c r="AE115" s="263"/>
      <c r="AF115" s="317">
        <f>ROUND(SUM(AF92-AF112),1)</f>
        <v>-748.7</v>
      </c>
      <c r="AG115" s="261"/>
      <c r="AH115" s="1322"/>
      <c r="AI115" s="275">
        <f>ROUND(SUM(+AC115-AF115),1)</f>
        <v>1498.2</v>
      </c>
      <c r="AJ115" s="277"/>
      <c r="AK115" s="530">
        <f>ROUND(SUM(AI115/AF115),3)*-1</f>
        <v>2.0009999999999999</v>
      </c>
    </row>
    <row r="116" spans="1:37" ht="15" customHeight="1">
      <c r="A116" s="357"/>
      <c r="B116" s="227"/>
      <c r="C116" s="226"/>
      <c r="D116" s="293"/>
      <c r="E116" s="265"/>
      <c r="F116" s="293"/>
      <c r="G116" s="265"/>
      <c r="H116" s="293"/>
      <c r="I116" s="265"/>
      <c r="J116" s="332"/>
      <c r="K116" s="265"/>
      <c r="L116" s="293"/>
      <c r="M116" s="265"/>
      <c r="N116" s="293"/>
      <c r="O116" s="265"/>
      <c r="P116" s="293"/>
      <c r="Q116" s="265"/>
      <c r="R116" s="293"/>
      <c r="S116" s="265"/>
      <c r="T116" s="293"/>
      <c r="U116" s="265"/>
      <c r="V116" s="293"/>
      <c r="W116" s="265"/>
      <c r="X116" s="293"/>
      <c r="Y116" s="265"/>
      <c r="Z116" s="293"/>
      <c r="AA116" s="257"/>
      <c r="AB116" s="241"/>
      <c r="AC116" s="293"/>
      <c r="AD116" s="265"/>
      <c r="AE116" s="254"/>
      <c r="AF116" s="332"/>
      <c r="AG116" s="293"/>
      <c r="AH116" s="1320"/>
      <c r="AI116" s="1214"/>
      <c r="AJ116" s="2176"/>
      <c r="AK116" s="2201"/>
    </row>
    <row r="117" spans="1:37" ht="15" customHeight="1">
      <c r="A117" s="357"/>
      <c r="B117" s="225" t="s">
        <v>47</v>
      </c>
      <c r="C117" s="226"/>
      <c r="D117" s="265"/>
      <c r="E117" s="265"/>
      <c r="F117" s="265"/>
      <c r="G117" s="265"/>
      <c r="H117" s="265"/>
      <c r="I117" s="265"/>
      <c r="J117" s="323"/>
      <c r="K117" s="265"/>
      <c r="L117" s="265"/>
      <c r="M117" s="265"/>
      <c r="N117" s="265"/>
      <c r="O117" s="265"/>
      <c r="P117" s="265"/>
      <c r="Q117" s="265"/>
      <c r="R117" s="265"/>
      <c r="S117" s="265"/>
      <c r="T117" s="265"/>
      <c r="U117" s="265"/>
      <c r="V117" s="265"/>
      <c r="W117" s="265"/>
      <c r="X117" s="265"/>
      <c r="Y117" s="265"/>
      <c r="Z117" s="265"/>
      <c r="AA117" s="372"/>
      <c r="AB117" s="241"/>
      <c r="AC117" s="265"/>
      <c r="AD117" s="265"/>
      <c r="AE117" s="254"/>
      <c r="AF117" s="323"/>
      <c r="AG117" s="265"/>
      <c r="AH117" s="1320"/>
      <c r="AI117" s="1214"/>
      <c r="AJ117" s="2176"/>
      <c r="AK117" s="2201"/>
    </row>
    <row r="118" spans="1:37" ht="15" customHeight="1">
      <c r="A118" s="357"/>
      <c r="B118" s="225"/>
      <c r="C118" s="226"/>
      <c r="D118" s="265"/>
      <c r="E118" s="265"/>
      <c r="F118" s="265"/>
      <c r="G118" s="265"/>
      <c r="H118" s="265"/>
      <c r="I118" s="265"/>
      <c r="J118" s="323"/>
      <c r="K118" s="265"/>
      <c r="L118" s="265"/>
      <c r="M118" s="265"/>
      <c r="N118" s="265"/>
      <c r="O118" s="265"/>
      <c r="P118" s="265"/>
      <c r="Q118" s="265"/>
      <c r="R118" s="265"/>
      <c r="S118" s="265"/>
      <c r="T118" s="265"/>
      <c r="U118" s="265"/>
      <c r="V118" s="265"/>
      <c r="W118" s="265"/>
      <c r="X118" s="265"/>
      <c r="Y118" s="265"/>
      <c r="Z118" s="265"/>
      <c r="AA118" s="372"/>
      <c r="AB118" s="241"/>
      <c r="AC118" s="265"/>
      <c r="AD118" s="265"/>
      <c r="AE118" s="254"/>
      <c r="AF118" s="323"/>
      <c r="AG118" s="265"/>
      <c r="AH118" s="1320"/>
      <c r="AI118" s="1214"/>
      <c r="AJ118" s="2176"/>
      <c r="AK118" s="2201"/>
    </row>
    <row r="119" spans="1:37" ht="15" customHeight="1">
      <c r="A119" s="357"/>
      <c r="B119" s="2011" t="s">
        <v>1364</v>
      </c>
      <c r="C119" s="311"/>
      <c r="D119" s="265">
        <v>1338.2</v>
      </c>
      <c r="E119" s="323"/>
      <c r="F119" s="278">
        <v>355.2</v>
      </c>
      <c r="G119" s="323"/>
      <c r="H119" s="278">
        <v>1062.5999999999999</v>
      </c>
      <c r="I119" s="323"/>
      <c r="J119" s="324">
        <v>395.3</v>
      </c>
      <c r="K119" s="323"/>
      <c r="L119" s="1214">
        <v>266.3</v>
      </c>
      <c r="M119" s="323"/>
      <c r="N119" s="265">
        <v>1223.2</v>
      </c>
      <c r="O119" s="323"/>
      <c r="P119" s="265">
        <v>421.9</v>
      </c>
      <c r="Q119" s="323"/>
      <c r="R119" s="265"/>
      <c r="S119" s="323"/>
      <c r="T119" s="265"/>
      <c r="U119" s="323"/>
      <c r="V119" s="265"/>
      <c r="W119" s="323"/>
      <c r="X119" s="265"/>
      <c r="Y119" s="323"/>
      <c r="Z119" s="265"/>
      <c r="AA119" s="372"/>
      <c r="AB119" s="493"/>
      <c r="AC119" s="265">
        <f t="shared" ref="AC119:AC126" si="13">ROUND(SUM(D119:Z119),1)</f>
        <v>5062.7</v>
      </c>
      <c r="AD119" s="323"/>
      <c r="AE119" s="1328"/>
      <c r="AF119" s="1982">
        <v>5167.3</v>
      </c>
      <c r="AG119" s="323"/>
      <c r="AH119" s="1320"/>
      <c r="AI119" s="1214">
        <f>ROUND(SUM(+AC119-AF119),1)</f>
        <v>-104.6</v>
      </c>
      <c r="AJ119" s="2176"/>
      <c r="AK119" s="2040">
        <f t="shared" ref="AK119:AK124" si="14">ROUND(IF(AF119=0,0,AI119/(AF119)),3)</f>
        <v>-0.02</v>
      </c>
    </row>
    <row r="120" spans="1:37" ht="15" customHeight="1">
      <c r="A120" s="357"/>
      <c r="B120" s="2011" t="s">
        <v>1403</v>
      </c>
      <c r="C120" s="311"/>
      <c r="D120" s="265">
        <v>419.7</v>
      </c>
      <c r="E120" s="323"/>
      <c r="F120" s="278">
        <v>307.2</v>
      </c>
      <c r="G120" s="323"/>
      <c r="H120" s="278">
        <v>733.8</v>
      </c>
      <c r="I120" s="323"/>
      <c r="J120" s="324">
        <v>460.6</v>
      </c>
      <c r="K120" s="323"/>
      <c r="L120" s="1214">
        <v>404.2</v>
      </c>
      <c r="M120" s="323"/>
      <c r="N120" s="265">
        <v>578.20000000000005</v>
      </c>
      <c r="O120" s="323"/>
      <c r="P120" s="265">
        <v>490.2</v>
      </c>
      <c r="Q120" s="323"/>
      <c r="R120" s="265"/>
      <c r="S120" s="323"/>
      <c r="T120" s="265"/>
      <c r="U120" s="323"/>
      <c r="V120" s="265"/>
      <c r="W120" s="323"/>
      <c r="X120" s="265"/>
      <c r="Y120" s="323"/>
      <c r="Z120" s="265"/>
      <c r="AA120" s="265"/>
      <c r="AB120" s="1328"/>
      <c r="AC120" s="265">
        <f t="shared" si="13"/>
        <v>3393.9</v>
      </c>
      <c r="AD120" s="323"/>
      <c r="AE120" s="1328"/>
      <c r="AF120" s="1982">
        <v>3342.3</v>
      </c>
      <c r="AG120" s="323"/>
      <c r="AH120" s="1320"/>
      <c r="AI120" s="1214">
        <f>ROUND(SUM(+AC120-AF120),1)</f>
        <v>51.6</v>
      </c>
      <c r="AJ120" s="2176"/>
      <c r="AK120" s="2040">
        <f t="shared" si="14"/>
        <v>1.4999999999999999E-2</v>
      </c>
    </row>
    <row r="121" spans="1:37" ht="15" customHeight="1">
      <c r="A121" s="357"/>
      <c r="B121" s="2011" t="s">
        <v>1365</v>
      </c>
      <c r="C121" s="311"/>
      <c r="D121" s="265">
        <v>57.1</v>
      </c>
      <c r="E121" s="323"/>
      <c r="F121" s="278">
        <v>72.900000000000006</v>
      </c>
      <c r="G121" s="323"/>
      <c r="H121" s="278">
        <v>77.7</v>
      </c>
      <c r="I121" s="323"/>
      <c r="J121" s="324">
        <v>60.2</v>
      </c>
      <c r="K121" s="323"/>
      <c r="L121" s="1214">
        <v>77.900000000000006</v>
      </c>
      <c r="M121" s="323"/>
      <c r="N121" s="265">
        <v>69</v>
      </c>
      <c r="O121" s="323"/>
      <c r="P121" s="265">
        <v>74.599999999999994</v>
      </c>
      <c r="Q121" s="323"/>
      <c r="R121" s="265"/>
      <c r="S121" s="323"/>
      <c r="T121" s="265"/>
      <c r="U121" s="323"/>
      <c r="V121" s="265"/>
      <c r="W121" s="323"/>
      <c r="X121" s="265"/>
      <c r="Y121" s="323"/>
      <c r="Z121" s="265"/>
      <c r="AA121" s="265"/>
      <c r="AB121" s="1328"/>
      <c r="AC121" s="265">
        <f t="shared" si="13"/>
        <v>489.4</v>
      </c>
      <c r="AD121" s="323"/>
      <c r="AE121" s="1328"/>
      <c r="AF121" s="1982">
        <v>389</v>
      </c>
      <c r="AG121" s="323"/>
      <c r="AH121" s="1320"/>
      <c r="AI121" s="1214">
        <f>ROUND(SUM(+AC121-AF121),1)</f>
        <v>100.4</v>
      </c>
      <c r="AJ121" s="2176"/>
      <c r="AK121" s="2040">
        <f t="shared" si="14"/>
        <v>0.25800000000000001</v>
      </c>
    </row>
    <row r="122" spans="1:37" ht="15" customHeight="1">
      <c r="A122" s="357"/>
      <c r="B122" s="492" t="s">
        <v>167</v>
      </c>
      <c r="C122" s="311"/>
      <c r="D122" s="265">
        <v>89.7</v>
      </c>
      <c r="E122" s="323"/>
      <c r="F122" s="278">
        <v>65.400000000000006</v>
      </c>
      <c r="G122" s="323"/>
      <c r="H122" s="278">
        <v>57</v>
      </c>
      <c r="I122" s="323"/>
      <c r="J122" s="324">
        <v>9.3000000000000007</v>
      </c>
      <c r="K122" s="323"/>
      <c r="L122" s="1214">
        <v>17.3</v>
      </c>
      <c r="M122" s="323"/>
      <c r="N122" s="265">
        <v>131.30000000000001</v>
      </c>
      <c r="O122" s="323"/>
      <c r="P122" s="265">
        <v>-27.7</v>
      </c>
      <c r="Q122" s="323"/>
      <c r="R122" s="265"/>
      <c r="S122" s="323"/>
      <c r="T122" s="265"/>
      <c r="U122" s="323"/>
      <c r="V122" s="265"/>
      <c r="W122" s="323"/>
      <c r="X122" s="265"/>
      <c r="Y122" s="323"/>
      <c r="Z122" s="265"/>
      <c r="AA122" s="265"/>
      <c r="AB122" s="1328"/>
      <c r="AC122" s="265">
        <f t="shared" si="13"/>
        <v>342.3</v>
      </c>
      <c r="AD122" s="323"/>
      <c r="AE122" s="1328"/>
      <c r="AF122" s="1982">
        <v>357.5</v>
      </c>
      <c r="AG122" s="323"/>
      <c r="AH122" s="1320"/>
      <c r="AI122" s="1214">
        <f>ROUND(SUM(+AC122-AF122),1)</f>
        <v>-15.2</v>
      </c>
      <c r="AJ122" s="2176"/>
      <c r="AK122" s="2040">
        <f t="shared" si="14"/>
        <v>-4.2999999999999997E-2</v>
      </c>
    </row>
    <row r="123" spans="1:37" ht="15" customHeight="1">
      <c r="A123" s="357" t="s">
        <v>16</v>
      </c>
      <c r="B123" s="227" t="s">
        <v>168</v>
      </c>
      <c r="C123" s="226"/>
      <c r="D123" s="265">
        <v>-9</v>
      </c>
      <c r="E123" s="265"/>
      <c r="F123" s="265">
        <v>-31</v>
      </c>
      <c r="G123" s="265"/>
      <c r="H123" s="265">
        <v>-87.2</v>
      </c>
      <c r="I123" s="265"/>
      <c r="J123" s="324">
        <v>287.60000000000002</v>
      </c>
      <c r="K123" s="265"/>
      <c r="L123" s="1214">
        <v>-169</v>
      </c>
      <c r="M123" s="265"/>
      <c r="N123" s="265">
        <v>-164.7</v>
      </c>
      <c r="O123" s="265"/>
      <c r="P123" s="265">
        <v>-172.1</v>
      </c>
      <c r="Q123" s="265"/>
      <c r="R123" s="265"/>
      <c r="S123" s="265"/>
      <c r="T123" s="265"/>
      <c r="U123" s="265"/>
      <c r="V123" s="265"/>
      <c r="W123" s="265"/>
      <c r="X123" s="265"/>
      <c r="Y123" s="265"/>
      <c r="Z123" s="265"/>
      <c r="AA123" s="372"/>
      <c r="AB123" s="241"/>
      <c r="AC123" s="265">
        <f t="shared" si="13"/>
        <v>-345.4</v>
      </c>
      <c r="AD123" s="265"/>
      <c r="AE123" s="254"/>
      <c r="AF123" s="1214">
        <v>-377.4</v>
      </c>
      <c r="AG123" s="265"/>
      <c r="AH123" s="1320"/>
      <c r="AI123" s="1214">
        <f>ROUND(SUM(+AC123-AF123)*-1,1)</f>
        <v>-32</v>
      </c>
      <c r="AJ123" s="2176"/>
      <c r="AK123" s="2040">
        <f>-ROUND(IF(AF123=0,0,AI123/(AF123)),3)</f>
        <v>-8.5000000000000006E-2</v>
      </c>
    </row>
    <row r="124" spans="1:37" ht="15" customHeight="1">
      <c r="A124" s="357"/>
      <c r="B124" s="227" t="s">
        <v>169</v>
      </c>
      <c r="C124" s="226"/>
      <c r="D124" s="1215">
        <v>0</v>
      </c>
      <c r="E124" s="265"/>
      <c r="F124" s="1215">
        <v>0</v>
      </c>
      <c r="G124" s="265"/>
      <c r="H124" s="1215">
        <v>0</v>
      </c>
      <c r="I124" s="265"/>
      <c r="J124" s="2419">
        <v>0</v>
      </c>
      <c r="K124" s="265"/>
      <c r="L124" s="2925">
        <v>0</v>
      </c>
      <c r="M124" s="265"/>
      <c r="N124" s="1215">
        <v>0</v>
      </c>
      <c r="O124" s="265"/>
      <c r="P124" s="1215">
        <v>0</v>
      </c>
      <c r="Q124" s="265"/>
      <c r="R124" s="1215"/>
      <c r="S124" s="265"/>
      <c r="T124" s="1215"/>
      <c r="U124" s="265"/>
      <c r="V124" s="1215"/>
      <c r="W124" s="265"/>
      <c r="X124" s="1215"/>
      <c r="Y124" s="265"/>
      <c r="Z124" s="377"/>
      <c r="AA124" s="372"/>
      <c r="AB124" s="241"/>
      <c r="AC124" s="265">
        <f t="shared" si="13"/>
        <v>0</v>
      </c>
      <c r="AD124" s="265"/>
      <c r="AE124" s="254"/>
      <c r="AF124" s="2925">
        <v>0</v>
      </c>
      <c r="AG124" s="265"/>
      <c r="AH124" s="1320"/>
      <c r="AI124" s="1214">
        <v>0</v>
      </c>
      <c r="AJ124" s="2176"/>
      <c r="AK124" s="2040">
        <f t="shared" si="14"/>
        <v>0</v>
      </c>
    </row>
    <row r="125" spans="1:37" ht="15" customHeight="1">
      <c r="A125" s="357"/>
      <c r="B125" s="227" t="s">
        <v>170</v>
      </c>
      <c r="C125" s="226"/>
      <c r="D125" s="265">
        <v>-400.8</v>
      </c>
      <c r="E125" s="265"/>
      <c r="F125" s="265">
        <v>152.19999999999999</v>
      </c>
      <c r="G125" s="265"/>
      <c r="H125" s="265">
        <v>2.1</v>
      </c>
      <c r="I125" s="265"/>
      <c r="J125" s="324">
        <v>-230.5</v>
      </c>
      <c r="K125" s="265"/>
      <c r="L125" s="1214">
        <v>11.3</v>
      </c>
      <c r="M125" s="265"/>
      <c r="N125" s="265">
        <v>98.8</v>
      </c>
      <c r="O125" s="265"/>
      <c r="P125" s="265">
        <v>-202.2</v>
      </c>
      <c r="Q125" s="265"/>
      <c r="R125" s="265"/>
      <c r="S125" s="265"/>
      <c r="T125" s="265"/>
      <c r="U125" s="265"/>
      <c r="V125" s="265"/>
      <c r="W125" s="265"/>
      <c r="X125" s="265"/>
      <c r="Y125" s="265"/>
      <c r="Z125" s="265"/>
      <c r="AA125" s="372"/>
      <c r="AB125" s="241"/>
      <c r="AC125" s="265">
        <f t="shared" si="13"/>
        <v>-569.1</v>
      </c>
      <c r="AD125" s="265"/>
      <c r="AE125" s="254"/>
      <c r="AF125" s="1214">
        <v>-1056</v>
      </c>
      <c r="AG125" s="265"/>
      <c r="AH125" s="1320"/>
      <c r="AI125" s="1214">
        <f>ROUND(SUM(+AC125-AF125)*-1,1)</f>
        <v>-486.9</v>
      </c>
      <c r="AJ125" s="2176"/>
      <c r="AK125" s="2040">
        <f>-ROUND(IF(AF125=0,0,AI125/(AF125)),3)</f>
        <v>-0.46100000000000002</v>
      </c>
    </row>
    <row r="126" spans="1:37" ht="15" customHeight="1">
      <c r="A126" s="357"/>
      <c r="B126" s="312" t="s">
        <v>171</v>
      </c>
      <c r="C126" s="311"/>
      <c r="D126" s="265">
        <v>-524.70000000000005</v>
      </c>
      <c r="E126" s="323"/>
      <c r="F126" s="265">
        <v>-579.20000000000005</v>
      </c>
      <c r="G126" s="323"/>
      <c r="H126" s="265">
        <v>-755.9</v>
      </c>
      <c r="I126" s="323"/>
      <c r="J126" s="324">
        <v>-274.39999999999998</v>
      </c>
      <c r="K126" s="323"/>
      <c r="L126" s="1214">
        <v>-555.29999999999995</v>
      </c>
      <c r="M126" s="323"/>
      <c r="N126" s="265">
        <v>-697.2</v>
      </c>
      <c r="O126" s="323"/>
      <c r="P126" s="265">
        <v>-257.3</v>
      </c>
      <c r="Q126" s="323"/>
      <c r="R126" s="265"/>
      <c r="S126" s="323"/>
      <c r="T126" s="265"/>
      <c r="U126" s="323"/>
      <c r="V126" s="265"/>
      <c r="W126" s="323"/>
      <c r="X126" s="265"/>
      <c r="Y126" s="323"/>
      <c r="Z126" s="265"/>
      <c r="AA126" s="491"/>
      <c r="AB126" s="314"/>
      <c r="AC126" s="265">
        <f t="shared" si="13"/>
        <v>-3644</v>
      </c>
      <c r="AD126" s="323"/>
      <c r="AE126" s="1328"/>
      <c r="AF126" s="1982">
        <v>-3163.1</v>
      </c>
      <c r="AG126" s="266"/>
      <c r="AH126" s="1320"/>
      <c r="AI126" s="3150">
        <f>ROUND(SUM(+AC126-AF126)*-1,1)</f>
        <v>480.9</v>
      </c>
      <c r="AJ126" s="2176"/>
      <c r="AK126" s="2916">
        <f>-ROUND(IF(AF126=0,0,AI126/(AF126)),3)</f>
        <v>0.152</v>
      </c>
    </row>
    <row r="127" spans="1:37" ht="5.0999999999999996" customHeight="1">
      <c r="A127" s="357"/>
      <c r="B127" s="312"/>
      <c r="C127" s="311"/>
      <c r="D127" s="332"/>
      <c r="E127" s="323"/>
      <c r="F127" s="332"/>
      <c r="G127" s="323"/>
      <c r="H127" s="332" t="s">
        <v>16</v>
      </c>
      <c r="I127" s="323"/>
      <c r="J127" s="332"/>
      <c r="K127" s="323"/>
      <c r="L127" s="332"/>
      <c r="M127" s="323"/>
      <c r="N127" s="332"/>
      <c r="O127" s="323"/>
      <c r="P127" s="332"/>
      <c r="Q127" s="323"/>
      <c r="R127" s="332"/>
      <c r="S127" s="323"/>
      <c r="T127" s="332"/>
      <c r="U127" s="323"/>
      <c r="V127" s="332"/>
      <c r="W127" s="323"/>
      <c r="X127" s="332"/>
      <c r="Y127" s="323"/>
      <c r="Z127" s="332"/>
      <c r="AA127" s="322"/>
      <c r="AB127" s="493"/>
      <c r="AC127" s="332"/>
      <c r="AD127" s="323"/>
      <c r="AE127" s="1328"/>
      <c r="AF127" s="332"/>
      <c r="AG127" s="266"/>
      <c r="AH127" s="1320"/>
      <c r="AI127" s="1214"/>
      <c r="AJ127" s="2176"/>
      <c r="AK127" s="2201"/>
    </row>
    <row r="128" spans="1:37" ht="15" customHeight="1">
      <c r="A128" s="357"/>
      <c r="B128" s="225" t="s">
        <v>172</v>
      </c>
      <c r="C128" s="226"/>
      <c r="D128" s="265"/>
      <c r="E128" s="265"/>
      <c r="F128" s="265"/>
      <c r="G128" s="265"/>
      <c r="H128" s="265"/>
      <c r="I128" s="265"/>
      <c r="J128" s="323"/>
      <c r="K128" s="265"/>
      <c r="L128" s="265"/>
      <c r="M128" s="265"/>
      <c r="N128" s="265"/>
      <c r="O128" s="265"/>
      <c r="P128" s="265"/>
      <c r="Q128" s="265"/>
      <c r="R128" s="265"/>
      <c r="S128" s="265"/>
      <c r="T128" s="265"/>
      <c r="U128" s="265"/>
      <c r="V128" s="265"/>
      <c r="W128" s="265"/>
      <c r="X128" s="265"/>
      <c r="Y128" s="372"/>
      <c r="Z128" s="372"/>
      <c r="AA128" s="372"/>
      <c r="AB128" s="241"/>
      <c r="AC128" s="265"/>
      <c r="AD128" s="265"/>
      <c r="AE128" s="254"/>
      <c r="AF128" s="323"/>
      <c r="AG128" s="265"/>
      <c r="AH128" s="1320"/>
      <c r="AI128" s="1214"/>
      <c r="AJ128" s="2176"/>
      <c r="AK128" s="2201"/>
    </row>
    <row r="129" spans="1:37" ht="15" customHeight="1">
      <c r="A129" s="357"/>
      <c r="B129" s="225" t="s">
        <v>173</v>
      </c>
      <c r="C129" s="226"/>
      <c r="D129" s="261">
        <f>ROUND(SUM(D119:D127),1)</f>
        <v>970.2</v>
      </c>
      <c r="E129" s="261"/>
      <c r="F129" s="261">
        <f>ROUND(SUM(F119:F127),1)</f>
        <v>342.7</v>
      </c>
      <c r="G129" s="261"/>
      <c r="H129" s="261">
        <f>ROUND(SUM(H119:H127),1)</f>
        <v>1090.0999999999999</v>
      </c>
      <c r="I129" s="261"/>
      <c r="J129" s="317">
        <f>ROUND(SUM(J119:J126),1)</f>
        <v>708.1</v>
      </c>
      <c r="K129" s="261"/>
      <c r="L129" s="261">
        <f>ROUND(SUM(L119:L126),1)</f>
        <v>52.7</v>
      </c>
      <c r="M129" s="261"/>
      <c r="N129" s="261">
        <f>ROUND(SUM(N119:N126),1)</f>
        <v>1238.5999999999999</v>
      </c>
      <c r="O129" s="261"/>
      <c r="P129" s="261">
        <f>ROUND(SUM(P119:P126),1)</f>
        <v>327.39999999999998</v>
      </c>
      <c r="Q129" s="261"/>
      <c r="R129" s="261">
        <f>ROUND(SUM(R119:R126),1)</f>
        <v>0</v>
      </c>
      <c r="S129" s="261"/>
      <c r="T129" s="261">
        <f>ROUND(SUM(T119:T126),1)</f>
        <v>0</v>
      </c>
      <c r="U129" s="261"/>
      <c r="V129" s="261">
        <f>ROUND(SUM(V119:V126),1)</f>
        <v>0</v>
      </c>
      <c r="W129" s="261"/>
      <c r="X129" s="261">
        <f>ROUND(SUM(X119:X126),1)</f>
        <v>0</v>
      </c>
      <c r="Y129" s="414"/>
      <c r="Z129" s="261">
        <f>ROUND(SUM(Z119:Z126),1)</f>
        <v>0</v>
      </c>
      <c r="AA129" s="482"/>
      <c r="AB129" s="483"/>
      <c r="AC129" s="261">
        <f>ROUND(SUM(AC119:AC126),1)</f>
        <v>4729.8</v>
      </c>
      <c r="AD129" s="261"/>
      <c r="AE129" s="263"/>
      <c r="AF129" s="317">
        <f>ROUND(SUM(AF119:AF126),1)</f>
        <v>4659.6000000000004</v>
      </c>
      <c r="AG129" s="277"/>
      <c r="AH129" s="1322"/>
      <c r="AI129" s="275">
        <f>ROUND(SUM(+AC129-AF129),1)</f>
        <v>70.2</v>
      </c>
      <c r="AJ129" s="277"/>
      <c r="AK129" s="530">
        <f>ROUND(SUM(+AI129/AF129),3)</f>
        <v>1.4999999999999999E-2</v>
      </c>
    </row>
    <row r="130" spans="1:37" ht="15" customHeight="1">
      <c r="A130" s="357"/>
      <c r="B130" s="227"/>
      <c r="C130" s="226"/>
      <c r="D130" s="293"/>
      <c r="E130" s="265"/>
      <c r="F130" s="293"/>
      <c r="G130" s="265"/>
      <c r="H130" s="293"/>
      <c r="I130" s="265"/>
      <c r="J130" s="332"/>
      <c r="K130" s="265"/>
      <c r="L130" s="293"/>
      <c r="M130" s="265"/>
      <c r="N130" s="293"/>
      <c r="O130" s="265"/>
      <c r="P130" s="293"/>
      <c r="Q130" s="265"/>
      <c r="R130" s="293"/>
      <c r="S130" s="265"/>
      <c r="T130" s="293"/>
      <c r="U130" s="265"/>
      <c r="V130" s="293"/>
      <c r="W130" s="265"/>
      <c r="X130" s="293"/>
      <c r="Y130" s="372"/>
      <c r="Z130" s="375"/>
      <c r="AA130" s="257"/>
      <c r="AB130" s="241"/>
      <c r="AC130" s="293"/>
      <c r="AD130" s="265"/>
      <c r="AE130" s="254"/>
      <c r="AF130" s="332"/>
      <c r="AG130" s="253"/>
      <c r="AH130" s="1320"/>
      <c r="AI130" s="1411"/>
      <c r="AJ130" s="1743"/>
      <c r="AK130" s="1735"/>
    </row>
    <row r="131" spans="1:37" ht="15" customHeight="1">
      <c r="A131" s="357"/>
      <c r="B131" s="225" t="s">
        <v>174</v>
      </c>
      <c r="C131" s="226"/>
      <c r="D131" s="265"/>
      <c r="E131" s="265"/>
      <c r="F131" s="265"/>
      <c r="G131" s="265"/>
      <c r="H131" s="265"/>
      <c r="I131" s="265"/>
      <c r="J131" s="323"/>
      <c r="K131" s="265"/>
      <c r="L131" s="265"/>
      <c r="M131" s="265"/>
      <c r="N131" s="265"/>
      <c r="O131" s="265"/>
      <c r="P131" s="265"/>
      <c r="Q131" s="265"/>
      <c r="R131" s="265"/>
      <c r="S131" s="265"/>
      <c r="T131" s="265"/>
      <c r="U131" s="265"/>
      <c r="V131" s="265"/>
      <c r="W131" s="265"/>
      <c r="X131" s="265"/>
      <c r="Y131" s="372"/>
      <c r="Z131" s="372"/>
      <c r="AA131" s="372"/>
      <c r="AB131" s="241"/>
      <c r="AC131" s="265"/>
      <c r="AD131" s="265"/>
      <c r="AE131" s="254"/>
      <c r="AF131" s="323"/>
      <c r="AG131" s="265"/>
      <c r="AH131" s="1320"/>
      <c r="AI131" s="1411"/>
      <c r="AJ131" s="1743"/>
      <c r="AK131" s="1735"/>
    </row>
    <row r="132" spans="1:37" ht="15" customHeight="1">
      <c r="A132" s="357"/>
      <c r="B132" s="225" t="s">
        <v>175</v>
      </c>
      <c r="C132" s="226"/>
      <c r="D132" s="265"/>
      <c r="E132" s="265"/>
      <c r="F132" s="265"/>
      <c r="G132" s="265"/>
      <c r="H132" s="265"/>
      <c r="I132" s="265"/>
      <c r="J132" s="323"/>
      <c r="K132" s="265"/>
      <c r="L132" s="265"/>
      <c r="M132" s="265"/>
      <c r="N132" s="265"/>
      <c r="O132" s="265"/>
      <c r="P132" s="265"/>
      <c r="Q132" s="265"/>
      <c r="R132" s="265"/>
      <c r="S132" s="265"/>
      <c r="T132" s="265"/>
      <c r="U132" s="265"/>
      <c r="V132" s="265"/>
      <c r="W132" s="265"/>
      <c r="X132" s="265"/>
      <c r="Y132" s="372"/>
      <c r="Z132" s="372"/>
      <c r="AA132" s="372"/>
      <c r="AB132" s="241"/>
      <c r="AC132" s="265"/>
      <c r="AD132" s="265"/>
      <c r="AE132" s="254"/>
      <c r="AF132" s="323"/>
      <c r="AG132" s="265"/>
      <c r="AH132" s="1320"/>
      <c r="AI132" s="1411"/>
      <c r="AJ132" s="1743"/>
      <c r="AK132" s="1735"/>
    </row>
    <row r="133" spans="1:37" ht="15" customHeight="1">
      <c r="A133" s="357"/>
      <c r="B133" s="225" t="s">
        <v>176</v>
      </c>
      <c r="C133" s="226"/>
      <c r="D133" s="261">
        <f>ROUND(SUM(D115+D129),1)</f>
        <v>3297.5</v>
      </c>
      <c r="E133" s="261"/>
      <c r="F133" s="261">
        <f>ROUND(SUM(F115+F129),1)</f>
        <v>-984.3</v>
      </c>
      <c r="G133" s="261"/>
      <c r="H133" s="261">
        <f>ROUND(SUM(H115+H129),1)</f>
        <v>582.70000000000005</v>
      </c>
      <c r="I133" s="261"/>
      <c r="J133" s="317">
        <f>ROUND(SUM(J115+J129),1)</f>
        <v>1866.4</v>
      </c>
      <c r="K133" s="261"/>
      <c r="L133" s="261">
        <f>ROUND(SUM(L115+L129),1)</f>
        <v>-108.2</v>
      </c>
      <c r="M133" s="261"/>
      <c r="N133" s="261">
        <f>ROUND(SUM(N115+N129),1)</f>
        <v>1163.5</v>
      </c>
      <c r="O133" s="261"/>
      <c r="P133" s="261">
        <f>ROUND(SUM(P115+P129),1)</f>
        <v>-338.3</v>
      </c>
      <c r="Q133" s="261"/>
      <c r="R133" s="261">
        <f>ROUND(SUM(R115+R129),1)</f>
        <v>0</v>
      </c>
      <c r="S133" s="265"/>
      <c r="T133" s="261">
        <f>ROUND(SUM(T115+T129),1)</f>
        <v>0</v>
      </c>
      <c r="U133" s="265"/>
      <c r="V133" s="261">
        <f>ROUND(SUM(V115+V129),1)</f>
        <v>0</v>
      </c>
      <c r="W133" s="265"/>
      <c r="X133" s="261">
        <f>ROUND(SUM(X115+X129),1)</f>
        <v>0</v>
      </c>
      <c r="Y133" s="372"/>
      <c r="Z133" s="275">
        <f>ROUND(SUM(Z115+Z129),1)</f>
        <v>0</v>
      </c>
      <c r="AA133" s="257"/>
      <c r="AB133" s="241"/>
      <c r="AC133" s="261">
        <f>ROUND(SUM(AC115+AC129),1)</f>
        <v>5479.3</v>
      </c>
      <c r="AD133" s="261"/>
      <c r="AE133" s="263"/>
      <c r="AF133" s="317">
        <f>ROUND(SUM(AF115+AF129),1)</f>
        <v>3910.9</v>
      </c>
      <c r="AG133" s="277"/>
      <c r="AH133" s="1322"/>
      <c r="AI133" s="275">
        <f>ROUND(SUM(+AC133-AF133),1)</f>
        <v>1568.4</v>
      </c>
      <c r="AJ133" s="3153"/>
      <c r="AK133" s="530">
        <f>ROUND(SUM(AI133/AF133),3)</f>
        <v>0.40100000000000002</v>
      </c>
    </row>
    <row r="134" spans="1:37" ht="9" customHeight="1">
      <c r="A134" s="357"/>
      <c r="B134" s="227"/>
      <c r="C134" s="226"/>
      <c r="D134" s="375"/>
      <c r="E134" s="227"/>
      <c r="F134" s="472"/>
      <c r="G134" s="227"/>
      <c r="H134" s="239"/>
      <c r="I134" s="227"/>
      <c r="J134" s="332"/>
      <c r="K134" s="227"/>
      <c r="L134" s="239"/>
      <c r="M134" s="227"/>
      <c r="N134" s="239"/>
      <c r="O134" s="227"/>
      <c r="P134" s="239"/>
      <c r="Q134" s="227"/>
      <c r="R134" s="239"/>
      <c r="S134" s="227"/>
      <c r="T134" s="239"/>
      <c r="U134" s="227"/>
      <c r="V134" s="239"/>
      <c r="W134" s="227"/>
      <c r="X134" s="239"/>
      <c r="Y134" s="227"/>
      <c r="Z134" s="233"/>
      <c r="AA134" s="233"/>
      <c r="AB134" s="241"/>
      <c r="AC134" s="293"/>
      <c r="AD134" s="265"/>
      <c r="AE134" s="254"/>
      <c r="AF134" s="332"/>
      <c r="AG134" s="253"/>
      <c r="AH134" s="1320"/>
      <c r="AI134" s="1405"/>
      <c r="AJ134" s="1743"/>
      <c r="AK134" s="3154"/>
    </row>
    <row r="135" spans="1:37" ht="15" customHeight="1" thickBot="1">
      <c r="A135" s="357"/>
      <c r="B135" s="495" t="s">
        <v>148</v>
      </c>
      <c r="C135" s="311"/>
      <c r="D135" s="496">
        <f>ROUND(SUM(D14+D133),1)</f>
        <v>5532.7</v>
      </c>
      <c r="E135" s="497"/>
      <c r="F135" s="496">
        <f>ROUND(SUM(F14+F133),1)</f>
        <v>4548.3999999999996</v>
      </c>
      <c r="G135" s="498"/>
      <c r="H135" s="496">
        <f>ROUND(SUM(H14+H133),1)</f>
        <v>5131.1000000000004</v>
      </c>
      <c r="I135" s="498"/>
      <c r="J135" s="496">
        <f>ROUND(SUM(J14+J133),1)</f>
        <v>6997.5</v>
      </c>
      <c r="K135" s="498"/>
      <c r="L135" s="496">
        <f>ROUND(SUM(L14+L133),1)</f>
        <v>6889.3</v>
      </c>
      <c r="M135" s="498"/>
      <c r="N135" s="496">
        <f>ROUND(SUM(N14+N133),1)</f>
        <v>8052.8</v>
      </c>
      <c r="O135" s="498"/>
      <c r="P135" s="496">
        <f>ROUND(SUM(P14+P133),1)</f>
        <v>7714.5</v>
      </c>
      <c r="Q135" s="498"/>
      <c r="R135" s="496">
        <f>ROUND(SUM(R14+R133),1)</f>
        <v>0</v>
      </c>
      <c r="S135" s="498"/>
      <c r="T135" s="496">
        <f>ROUND(SUM(T14+T133),1)</f>
        <v>0</v>
      </c>
      <c r="U135" s="498"/>
      <c r="V135" s="496">
        <f>ROUND(SUM(V14+V133),1)</f>
        <v>0</v>
      </c>
      <c r="W135" s="498"/>
      <c r="X135" s="496">
        <f>ROUND(SUM(X14+X133),1)</f>
        <v>0</v>
      </c>
      <c r="Y135" s="498"/>
      <c r="Z135" s="496">
        <f>ROUND(SUM(Z14+Z133),1)</f>
        <v>0</v>
      </c>
      <c r="AA135" s="497"/>
      <c r="AB135" s="499"/>
      <c r="AC135" s="496">
        <f>ROUND(SUM(AC14+AC133),1)</f>
        <v>7714.5</v>
      </c>
      <c r="AD135" s="317"/>
      <c r="AE135" s="1329"/>
      <c r="AF135" s="496">
        <f>ROUND(SUM(AF14+AF133),1)</f>
        <v>5520.9</v>
      </c>
      <c r="AG135" s="389"/>
      <c r="AH135" s="476"/>
      <c r="AI135" s="508">
        <f>ROUND(SUM(+AC135-AF135),1)</f>
        <v>2193.6</v>
      </c>
      <c r="AJ135" s="3153"/>
      <c r="AK135" s="536">
        <f>ROUND(SUM(+AI135/AF135),3)</f>
        <v>0.39700000000000002</v>
      </c>
    </row>
    <row r="136" spans="1:37" ht="15" customHeight="1" thickTop="1">
      <c r="A136" s="357"/>
      <c r="B136" s="227"/>
      <c r="C136" s="226"/>
      <c r="D136" s="233"/>
      <c r="E136" s="232"/>
      <c r="F136" s="500"/>
      <c r="G136" s="232"/>
      <c r="H136" s="233"/>
      <c r="I136" s="232"/>
      <c r="J136" s="266"/>
      <c r="K136" s="232"/>
      <c r="L136" s="233"/>
      <c r="M136" s="232"/>
      <c r="N136" s="233"/>
      <c r="O136" s="232"/>
      <c r="P136" s="233"/>
      <c r="Q136" s="232"/>
      <c r="R136" s="233"/>
      <c r="S136" s="232"/>
      <c r="T136" s="233"/>
      <c r="U136" s="232"/>
      <c r="V136" s="233"/>
      <c r="W136" s="232"/>
      <c r="X136" s="233"/>
      <c r="Y136" s="232"/>
      <c r="Z136" s="233"/>
      <c r="AA136" s="233"/>
      <c r="AB136" s="232"/>
      <c r="AC136" s="253"/>
      <c r="AD136" s="253"/>
      <c r="AE136" s="253"/>
      <c r="AF136" s="266"/>
      <c r="AG136" s="253"/>
      <c r="AH136" s="1330"/>
      <c r="AI136" s="1411"/>
      <c r="AJ136" s="1743"/>
      <c r="AK136" s="1735"/>
    </row>
    <row r="137" spans="1:37" ht="15" customHeight="1">
      <c r="A137" s="357"/>
      <c r="B137" s="227" t="s">
        <v>16</v>
      </c>
      <c r="C137" s="226"/>
      <c r="D137" s="233"/>
      <c r="E137" s="227"/>
      <c r="F137" s="500"/>
      <c r="G137" s="227"/>
      <c r="H137" s="233"/>
      <c r="I137" s="227"/>
      <c r="J137" s="266"/>
      <c r="K137" s="227"/>
      <c r="L137" s="233"/>
      <c r="M137" s="227"/>
      <c r="N137" s="233"/>
      <c r="O137" s="227"/>
      <c r="P137" s="233"/>
      <c r="Q137" s="227"/>
      <c r="R137" s="233"/>
      <c r="S137" s="227"/>
      <c r="T137" s="233"/>
      <c r="U137" s="227"/>
      <c r="V137" s="233"/>
      <c r="W137" s="227"/>
      <c r="X137" s="233"/>
      <c r="Y137" s="227"/>
      <c r="Z137" s="233"/>
      <c r="AA137" s="233"/>
      <c r="AB137" s="227"/>
      <c r="AC137" s="253"/>
      <c r="AD137" s="265"/>
      <c r="AE137" s="265"/>
      <c r="AF137" s="266"/>
      <c r="AG137" s="253"/>
      <c r="AH137" s="1331"/>
      <c r="AI137" s="1411"/>
      <c r="AJ137" s="1743"/>
      <c r="AK137" s="1735"/>
    </row>
    <row r="138" spans="1:37" ht="15" customHeight="1">
      <c r="A138" s="357"/>
      <c r="B138" s="227"/>
      <c r="C138" s="226"/>
      <c r="D138" s="233"/>
      <c r="E138" s="227"/>
      <c r="F138" s="500"/>
      <c r="G138" s="227"/>
      <c r="H138" s="233"/>
      <c r="I138" s="227"/>
      <c r="J138" s="266"/>
      <c r="K138" s="227"/>
      <c r="L138" s="233"/>
      <c r="M138" s="227"/>
      <c r="N138" s="233"/>
      <c r="O138" s="227"/>
      <c r="P138" s="233"/>
      <c r="Q138" s="227"/>
      <c r="R138" s="233"/>
      <c r="S138" s="227"/>
      <c r="T138" s="233"/>
      <c r="U138" s="227"/>
      <c r="V138" s="233"/>
      <c r="W138" s="227"/>
      <c r="X138" s="233"/>
      <c r="Y138" s="227"/>
      <c r="Z138" s="233"/>
      <c r="AA138" s="233"/>
      <c r="AB138" s="227"/>
      <c r="AC138" s="253"/>
      <c r="AD138" s="265"/>
      <c r="AE138" s="265"/>
      <c r="AF138" s="266"/>
      <c r="AG138" s="253"/>
      <c r="AH138" s="1331"/>
      <c r="AI138" s="1411"/>
      <c r="AJ138" s="1743"/>
      <c r="AK138" s="1735"/>
    </row>
    <row r="139" spans="1:37" ht="15" customHeight="1">
      <c r="A139" s="461"/>
      <c r="B139" s="369"/>
      <c r="C139" s="501"/>
      <c r="D139" s="501"/>
      <c r="E139" s="502"/>
      <c r="F139" s="502"/>
      <c r="G139" s="502"/>
      <c r="H139" s="226"/>
      <c r="I139" s="226"/>
      <c r="J139" s="323"/>
      <c r="K139" s="226"/>
      <c r="L139" s="226"/>
      <c r="M139" s="226"/>
      <c r="N139" s="226"/>
      <c r="O139" s="226"/>
      <c r="P139" s="226"/>
      <c r="Q139" s="226"/>
      <c r="R139" s="226"/>
      <c r="S139" s="226"/>
      <c r="T139" s="226"/>
      <c r="U139" s="226"/>
      <c r="V139" s="226"/>
      <c r="W139" s="226"/>
      <c r="X139" s="226"/>
      <c r="Y139" s="226"/>
      <c r="Z139" s="226"/>
      <c r="AA139" s="226"/>
      <c r="AB139" s="226"/>
      <c r="AC139" s="265"/>
      <c r="AD139" s="265"/>
      <c r="AE139" s="265"/>
      <c r="AF139" s="323"/>
      <c r="AG139" s="265"/>
      <c r="AH139" s="1332"/>
      <c r="AI139" s="1214"/>
      <c r="AJ139" s="2176"/>
      <c r="AK139" s="2201"/>
    </row>
    <row r="140" spans="1:37" ht="14.1" customHeight="1">
      <c r="A140" s="461"/>
      <c r="B140" s="369"/>
      <c r="C140" s="501"/>
      <c r="D140" s="501"/>
      <c r="E140" s="502"/>
      <c r="F140" s="502"/>
      <c r="G140" s="502"/>
      <c r="H140" s="226"/>
      <c r="I140" s="226"/>
      <c r="J140" s="323"/>
      <c r="K140" s="226"/>
      <c r="L140" s="226"/>
      <c r="M140" s="226"/>
      <c r="N140" s="226"/>
      <c r="O140" s="226"/>
      <c r="P140" s="226"/>
      <c r="Q140" s="226"/>
      <c r="R140" s="226"/>
      <c r="S140" s="226"/>
      <c r="T140" s="226"/>
      <c r="U140" s="226"/>
      <c r="V140" s="226"/>
      <c r="W140" s="226"/>
      <c r="X140" s="226"/>
      <c r="Y140" s="226"/>
      <c r="Z140" s="226"/>
      <c r="AA140" s="226"/>
      <c r="AB140" s="226"/>
      <c r="AC140" s="265"/>
      <c r="AD140" s="265"/>
      <c r="AE140" s="265"/>
      <c r="AF140" s="323"/>
      <c r="AG140" s="265"/>
      <c r="AH140" s="1332"/>
      <c r="AI140" s="1214"/>
      <c r="AJ140" s="2176"/>
      <c r="AK140" s="2201"/>
    </row>
    <row r="141" spans="1:37" ht="15" customHeight="1">
      <c r="A141" s="461"/>
      <c r="B141" s="369"/>
      <c r="C141" s="501"/>
      <c r="D141" s="501"/>
      <c r="E141" s="502"/>
      <c r="F141" s="502"/>
      <c r="G141" s="502"/>
      <c r="H141" s="226"/>
      <c r="I141" s="226"/>
      <c r="J141" s="323"/>
      <c r="K141" s="226"/>
      <c r="L141" s="226"/>
      <c r="M141" s="226"/>
      <c r="N141" s="226"/>
      <c r="O141" s="226"/>
      <c r="P141" s="226"/>
      <c r="Q141" s="226"/>
      <c r="R141" s="226"/>
      <c r="S141" s="226"/>
      <c r="T141" s="226"/>
      <c r="U141" s="226"/>
      <c r="V141" s="226"/>
      <c r="W141" s="226"/>
      <c r="X141" s="226"/>
      <c r="Y141" s="226"/>
      <c r="Z141" s="226"/>
      <c r="AA141" s="226"/>
      <c r="AB141" s="226"/>
      <c r="AC141" s="265"/>
      <c r="AD141" s="265"/>
      <c r="AE141" s="265"/>
      <c r="AF141" s="323"/>
      <c r="AG141" s="265"/>
      <c r="AH141" s="1332"/>
      <c r="AI141" s="1214"/>
      <c r="AJ141" s="2176"/>
      <c r="AK141" s="2201"/>
    </row>
    <row r="142" spans="1:37" ht="15.75" customHeight="1">
      <c r="A142" s="461"/>
      <c r="B142" s="369"/>
      <c r="C142" s="501"/>
      <c r="D142" s="501"/>
      <c r="E142" s="502"/>
      <c r="F142" s="502"/>
      <c r="G142" s="502"/>
      <c r="H142" s="226"/>
      <c r="I142" s="226"/>
      <c r="J142" s="323"/>
      <c r="K142" s="226"/>
      <c r="L142" s="226"/>
      <c r="M142" s="226"/>
      <c r="N142" s="226"/>
      <c r="O142" s="226"/>
      <c r="P142" s="226"/>
      <c r="Q142" s="226"/>
      <c r="R142" s="226"/>
      <c r="S142" s="226"/>
      <c r="T142" s="226"/>
      <c r="U142" s="226"/>
      <c r="V142" s="226"/>
      <c r="W142" s="226"/>
      <c r="X142" s="226"/>
      <c r="Y142" s="226"/>
      <c r="Z142" s="226"/>
      <c r="AA142" s="226"/>
      <c r="AB142" s="226"/>
      <c r="AC142" s="265"/>
      <c r="AD142" s="265"/>
      <c r="AE142" s="265"/>
      <c r="AF142" s="323"/>
      <c r="AG142" s="265"/>
      <c r="AH142" s="1332"/>
      <c r="AI142" s="1214"/>
      <c r="AJ142" s="2176"/>
      <c r="AK142" s="2201"/>
    </row>
    <row r="143" spans="1:37" ht="14.25" customHeight="1">
      <c r="A143" s="461"/>
      <c r="B143" s="369"/>
      <c r="C143" s="501"/>
      <c r="D143" s="501"/>
      <c r="E143" s="502"/>
      <c r="F143" s="502"/>
      <c r="G143" s="502"/>
      <c r="H143" s="226"/>
      <c r="I143" s="226"/>
      <c r="J143" s="323"/>
      <c r="K143" s="226"/>
      <c r="L143" s="226"/>
      <c r="M143" s="226"/>
      <c r="N143" s="226"/>
      <c r="O143" s="226"/>
      <c r="P143" s="226"/>
      <c r="Q143" s="226"/>
      <c r="R143" s="226"/>
      <c r="S143" s="226"/>
      <c r="T143" s="226"/>
      <c r="U143" s="226"/>
      <c r="V143" s="226"/>
      <c r="W143" s="226"/>
      <c r="X143" s="226"/>
      <c r="Y143" s="226"/>
      <c r="Z143" s="226"/>
      <c r="AA143" s="226"/>
      <c r="AB143" s="226"/>
      <c r="AC143" s="265"/>
      <c r="AD143" s="265"/>
      <c r="AE143" s="265"/>
      <c r="AF143" s="323"/>
      <c r="AG143" s="265"/>
      <c r="AH143" s="1332"/>
      <c r="AI143" s="1214"/>
      <c r="AJ143" s="2176"/>
      <c r="AK143" s="2201"/>
    </row>
    <row r="144" spans="1:37" ht="14.25" customHeight="1">
      <c r="A144" s="461"/>
      <c r="B144" s="369"/>
      <c r="C144" s="501"/>
      <c r="D144" s="501"/>
      <c r="E144" s="502"/>
      <c r="F144" s="502"/>
      <c r="G144" s="502"/>
      <c r="H144" s="226"/>
      <c r="I144" s="226"/>
      <c r="J144" s="323"/>
      <c r="K144" s="226"/>
      <c r="L144" s="226"/>
      <c r="M144" s="226"/>
      <c r="N144" s="226"/>
      <c r="O144" s="226"/>
      <c r="P144" s="226"/>
      <c r="Q144" s="226"/>
      <c r="R144" s="226"/>
      <c r="S144" s="226"/>
      <c r="T144" s="226"/>
      <c r="U144" s="226"/>
      <c r="V144" s="226"/>
      <c r="W144" s="226"/>
      <c r="X144" s="226"/>
      <c r="Y144" s="226"/>
      <c r="Z144" s="226"/>
      <c r="AA144" s="226"/>
      <c r="AB144" s="226"/>
      <c r="AC144" s="265"/>
      <c r="AD144" s="265"/>
      <c r="AE144" s="265"/>
      <c r="AF144" s="323"/>
      <c r="AG144" s="265"/>
      <c r="AH144" s="1332"/>
      <c r="AI144" s="1214"/>
      <c r="AJ144" s="2176"/>
      <c r="AK144" s="2201"/>
    </row>
    <row r="145" spans="1:38" ht="14.25" customHeight="1">
      <c r="A145" s="461"/>
      <c r="B145" s="369"/>
      <c r="C145" s="501"/>
      <c r="D145" s="501"/>
      <c r="E145" s="502"/>
      <c r="F145" s="502"/>
      <c r="G145" s="502"/>
      <c r="H145" s="226"/>
      <c r="I145" s="226"/>
      <c r="J145" s="323"/>
      <c r="K145" s="226"/>
      <c r="L145" s="226"/>
      <c r="M145" s="226"/>
      <c r="N145" s="226"/>
      <c r="O145" s="226"/>
      <c r="P145" s="226"/>
      <c r="Q145" s="226"/>
      <c r="R145" s="226"/>
      <c r="S145" s="226"/>
      <c r="T145" s="226"/>
      <c r="U145" s="226"/>
      <c r="V145" s="226"/>
      <c r="W145" s="226"/>
      <c r="X145" s="226"/>
      <c r="Y145" s="226"/>
      <c r="Z145" s="226"/>
      <c r="AA145" s="226"/>
      <c r="AB145" s="226"/>
      <c r="AC145" s="265"/>
      <c r="AD145" s="265"/>
      <c r="AE145" s="265"/>
      <c r="AF145" s="323"/>
      <c r="AG145" s="265"/>
      <c r="AH145" s="1332"/>
      <c r="AI145" s="1214"/>
      <c r="AJ145" s="2176"/>
      <c r="AK145" s="2201"/>
    </row>
    <row r="146" spans="1:38" ht="14.25" customHeight="1">
      <c r="A146" s="461"/>
      <c r="B146" s="369"/>
      <c r="C146" s="501"/>
      <c r="D146" s="501"/>
      <c r="E146" s="502"/>
      <c r="F146" s="502"/>
      <c r="G146" s="502"/>
      <c r="H146" s="226"/>
      <c r="I146" s="226"/>
      <c r="J146" s="323"/>
      <c r="K146" s="226"/>
      <c r="L146" s="226"/>
      <c r="M146" s="226"/>
      <c r="N146" s="226"/>
      <c r="O146" s="226"/>
      <c r="P146" s="226"/>
      <c r="Q146" s="226"/>
      <c r="R146" s="226"/>
      <c r="S146" s="226"/>
      <c r="T146" s="226"/>
      <c r="U146" s="226"/>
      <c r="V146" s="226"/>
      <c r="W146" s="226"/>
      <c r="X146" s="226"/>
      <c r="Y146" s="226"/>
      <c r="Z146" s="226"/>
      <c r="AA146" s="226"/>
      <c r="AB146" s="226"/>
      <c r="AC146" s="265"/>
      <c r="AD146" s="265"/>
      <c r="AE146" s="265"/>
      <c r="AF146" s="323"/>
      <c r="AG146" s="265"/>
      <c r="AH146" s="1332"/>
      <c r="AI146" s="1214"/>
      <c r="AJ146" s="2176"/>
      <c r="AK146" s="2201"/>
    </row>
    <row r="147" spans="1:38" ht="14.25" customHeight="1">
      <c r="A147" s="461"/>
      <c r="B147" s="369"/>
      <c r="C147" s="501"/>
      <c r="D147" s="501"/>
      <c r="E147" s="502"/>
      <c r="F147" s="502"/>
      <c r="G147" s="502"/>
      <c r="H147" s="226"/>
      <c r="I147" s="226"/>
      <c r="J147" s="323"/>
      <c r="K147" s="226"/>
      <c r="L147" s="226"/>
      <c r="M147" s="226"/>
      <c r="N147" s="226"/>
      <c r="O147" s="226"/>
      <c r="P147" s="226"/>
      <c r="Q147" s="226"/>
      <c r="R147" s="226"/>
      <c r="S147" s="226"/>
      <c r="T147" s="226"/>
      <c r="U147" s="226"/>
      <c r="V147" s="226"/>
      <c r="W147" s="226"/>
      <c r="X147" s="226"/>
      <c r="Y147" s="226"/>
      <c r="Z147" s="226"/>
      <c r="AA147" s="226"/>
      <c r="AB147" s="226"/>
      <c r="AC147" s="265"/>
      <c r="AD147" s="265"/>
      <c r="AE147" s="265"/>
      <c r="AF147" s="323"/>
      <c r="AG147" s="265"/>
      <c r="AH147" s="1332"/>
      <c r="AI147" s="1214"/>
      <c r="AJ147" s="2176"/>
      <c r="AK147" s="2201"/>
    </row>
    <row r="148" spans="1:38" ht="14.25" customHeight="1">
      <c r="A148" s="461"/>
      <c r="B148" s="369"/>
      <c r="C148" s="501"/>
      <c r="D148" s="501"/>
      <c r="E148" s="502"/>
      <c r="F148" s="502"/>
      <c r="G148" s="502"/>
      <c r="H148" s="226"/>
      <c r="I148" s="226"/>
      <c r="J148" s="323"/>
      <c r="K148" s="226"/>
      <c r="L148" s="226"/>
      <c r="M148" s="226"/>
      <c r="N148" s="226"/>
      <c r="O148" s="226"/>
      <c r="P148" s="226"/>
      <c r="Q148" s="226"/>
      <c r="R148" s="226"/>
      <c r="S148" s="226"/>
      <c r="T148" s="226"/>
      <c r="U148" s="226"/>
      <c r="V148" s="226"/>
      <c r="W148" s="226"/>
      <c r="X148" s="226"/>
      <c r="Y148" s="226"/>
      <c r="Z148" s="226"/>
      <c r="AA148" s="226"/>
      <c r="AB148" s="226"/>
      <c r="AC148" s="265"/>
      <c r="AD148" s="265"/>
      <c r="AE148" s="265"/>
      <c r="AF148" s="323"/>
      <c r="AG148" s="265"/>
      <c r="AH148" s="1332"/>
      <c r="AI148" s="1214"/>
      <c r="AJ148" s="2176"/>
      <c r="AK148" s="2201"/>
    </row>
    <row r="149" spans="1:38" ht="14.25" customHeight="1">
      <c r="A149" s="461"/>
      <c r="B149" s="369"/>
      <c r="C149" s="501"/>
      <c r="D149" s="501"/>
      <c r="E149" s="502"/>
      <c r="F149" s="502"/>
      <c r="G149" s="502"/>
      <c r="H149" s="226"/>
      <c r="I149" s="226"/>
      <c r="J149" s="323"/>
      <c r="K149" s="226"/>
      <c r="L149" s="226"/>
      <c r="M149" s="226"/>
      <c r="N149" s="226"/>
      <c r="O149" s="226"/>
      <c r="P149" s="226"/>
      <c r="Q149" s="226"/>
      <c r="R149" s="226"/>
      <c r="S149" s="226"/>
      <c r="T149" s="226"/>
      <c r="U149" s="226"/>
      <c r="V149" s="226"/>
      <c r="W149" s="226"/>
      <c r="X149" s="226"/>
      <c r="Y149" s="226"/>
      <c r="Z149" s="226"/>
      <c r="AA149" s="226"/>
      <c r="AB149" s="226"/>
      <c r="AC149" s="265"/>
      <c r="AD149" s="265"/>
      <c r="AE149" s="265"/>
      <c r="AF149" s="323"/>
      <c r="AG149" s="265"/>
      <c r="AH149" s="1332"/>
      <c r="AI149" s="1214"/>
      <c r="AJ149" s="2176"/>
      <c r="AK149" s="2201"/>
    </row>
    <row r="150" spans="1:38" ht="14.25" customHeight="1">
      <c r="A150" s="461"/>
      <c r="B150" s="369"/>
      <c r="C150" s="501"/>
      <c r="D150" s="501"/>
      <c r="E150" s="502"/>
      <c r="F150" s="502"/>
      <c r="G150" s="502"/>
      <c r="H150" s="226"/>
      <c r="I150" s="226"/>
      <c r="J150" s="323"/>
      <c r="K150" s="226"/>
      <c r="L150" s="226"/>
      <c r="M150" s="226"/>
      <c r="N150" s="226"/>
      <c r="O150" s="226"/>
      <c r="P150" s="226"/>
      <c r="Q150" s="226"/>
      <c r="R150" s="226"/>
      <c r="S150" s="226"/>
      <c r="T150" s="226"/>
      <c r="U150" s="226"/>
      <c r="V150" s="226"/>
      <c r="W150" s="226"/>
      <c r="X150" s="226"/>
      <c r="Y150" s="226"/>
      <c r="Z150" s="226"/>
      <c r="AA150" s="226"/>
      <c r="AB150" s="226"/>
      <c r="AC150" s="226"/>
      <c r="AD150" s="226"/>
      <c r="AE150" s="226"/>
      <c r="AF150" s="311"/>
      <c r="AG150" s="226"/>
      <c r="AH150" s="503"/>
      <c r="AI150" s="2150"/>
      <c r="AJ150" s="3145"/>
      <c r="AK150" s="2201"/>
    </row>
    <row r="151" spans="1:38" ht="14.25" customHeight="1">
      <c r="A151" s="461"/>
      <c r="B151" s="369"/>
      <c r="C151" s="501"/>
      <c r="D151" s="501"/>
      <c r="E151" s="502"/>
      <c r="F151" s="502"/>
      <c r="G151" s="502"/>
      <c r="H151" s="226"/>
      <c r="I151" s="226"/>
      <c r="J151" s="323"/>
      <c r="K151" s="226"/>
      <c r="L151" s="226"/>
      <c r="M151" s="226"/>
      <c r="N151" s="226"/>
      <c r="O151" s="226"/>
      <c r="P151" s="226"/>
      <c r="Q151" s="226"/>
      <c r="R151" s="226"/>
      <c r="S151" s="226"/>
      <c r="T151" s="226"/>
      <c r="U151" s="226"/>
      <c r="V151" s="226"/>
      <c r="W151" s="226"/>
      <c r="X151" s="226"/>
      <c r="Y151" s="226"/>
      <c r="Z151" s="226"/>
      <c r="AA151" s="226"/>
      <c r="AB151" s="226"/>
      <c r="AC151" s="226"/>
      <c r="AD151" s="226"/>
      <c r="AE151" s="226"/>
      <c r="AF151" s="311"/>
      <c r="AG151" s="226"/>
      <c r="AH151" s="503"/>
      <c r="AI151" s="2150"/>
      <c r="AJ151" s="3145"/>
      <c r="AK151" s="2201"/>
    </row>
    <row r="152" spans="1:38" ht="14.25" customHeight="1">
      <c r="A152" s="461"/>
      <c r="B152" s="369"/>
      <c r="C152" s="501"/>
      <c r="D152" s="501"/>
      <c r="E152" s="502"/>
      <c r="F152" s="502"/>
      <c r="G152" s="502"/>
      <c r="H152" s="226"/>
      <c r="I152" s="226"/>
      <c r="J152" s="323"/>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311"/>
      <c r="AG152" s="226"/>
      <c r="AH152" s="503"/>
      <c r="AI152" s="2150"/>
      <c r="AJ152" s="3145"/>
      <c r="AK152" s="2201"/>
    </row>
    <row r="153" spans="1:38" ht="14.25" customHeight="1">
      <c r="A153" s="461"/>
      <c r="B153" s="369"/>
      <c r="C153" s="501"/>
      <c r="D153" s="501"/>
      <c r="E153" s="502"/>
      <c r="F153" s="502"/>
      <c r="G153" s="502"/>
      <c r="H153" s="226"/>
      <c r="I153" s="226"/>
      <c r="J153" s="323"/>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311"/>
      <c r="AG153" s="226"/>
      <c r="AH153" s="503"/>
      <c r="AI153" s="2150"/>
      <c r="AJ153" s="3145"/>
      <c r="AK153" s="2201"/>
    </row>
    <row r="154" spans="1:38" ht="14.25" customHeight="1">
      <c r="A154" s="461"/>
      <c r="B154" s="369"/>
      <c r="C154" s="501"/>
      <c r="D154" s="501"/>
      <c r="E154" s="502"/>
      <c r="F154" s="502"/>
      <c r="G154" s="502"/>
      <c r="H154" s="226"/>
      <c r="I154" s="226"/>
      <c r="J154" s="323"/>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311"/>
      <c r="AG154" s="226"/>
      <c r="AH154" s="503"/>
      <c r="AI154" s="2150"/>
      <c r="AJ154" s="3145"/>
      <c r="AK154" s="2201"/>
    </row>
    <row r="155" spans="1:38" ht="14.25" customHeight="1">
      <c r="A155" s="461"/>
      <c r="B155" s="369"/>
      <c r="C155" s="501"/>
      <c r="D155" s="501"/>
      <c r="E155" s="502"/>
      <c r="F155" s="502"/>
      <c r="G155" s="502"/>
      <c r="H155" s="226"/>
      <c r="I155" s="226"/>
      <c r="J155" s="323"/>
      <c r="K155" s="226"/>
      <c r="L155" s="226"/>
      <c r="M155" s="226"/>
      <c r="N155" s="226"/>
      <c r="O155" s="226"/>
      <c r="P155" s="226"/>
      <c r="Q155" s="226"/>
      <c r="R155" s="226"/>
      <c r="S155" s="226"/>
      <c r="T155" s="226"/>
      <c r="U155" s="226"/>
      <c r="V155" s="226"/>
      <c r="W155" s="226"/>
      <c r="X155" s="226"/>
      <c r="Y155" s="226"/>
      <c r="Z155" s="226"/>
      <c r="AA155" s="226"/>
      <c r="AB155" s="226"/>
      <c r="AC155" s="226"/>
      <c r="AD155" s="226"/>
      <c r="AE155" s="226"/>
      <c r="AF155" s="311"/>
      <c r="AG155" s="226"/>
      <c r="AH155" s="503"/>
      <c r="AI155" s="2150"/>
      <c r="AJ155" s="3145"/>
      <c r="AK155" s="2201"/>
    </row>
    <row r="156" spans="1:38" ht="14.25" customHeight="1">
      <c r="A156" s="461"/>
      <c r="B156" s="369"/>
      <c r="C156" s="501"/>
      <c r="D156" s="501"/>
      <c r="E156" s="502"/>
      <c r="F156" s="502"/>
      <c r="G156" s="502"/>
      <c r="H156" s="226"/>
      <c r="I156" s="226"/>
      <c r="J156" s="323"/>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311"/>
      <c r="AG156" s="226"/>
      <c r="AH156" s="503"/>
      <c r="AI156" s="2150"/>
      <c r="AJ156" s="3145"/>
      <c r="AK156" s="2201"/>
    </row>
    <row r="157" spans="1:38" ht="14.25" customHeight="1">
      <c r="A157" s="461"/>
      <c r="B157" s="369"/>
      <c r="C157" s="501"/>
      <c r="D157" s="501"/>
      <c r="E157" s="502"/>
      <c r="F157" s="502"/>
      <c r="G157" s="502"/>
      <c r="H157" s="226"/>
      <c r="I157" s="226"/>
      <c r="J157" s="323"/>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311"/>
      <c r="AG157" s="226"/>
      <c r="AH157" s="503"/>
      <c r="AI157" s="2150"/>
      <c r="AJ157" s="3145"/>
      <c r="AK157" s="2201"/>
    </row>
    <row r="158" spans="1:38" ht="14.25" customHeight="1">
      <c r="A158" s="461"/>
      <c r="B158" s="369"/>
      <c r="C158" s="501"/>
      <c r="D158" s="501"/>
      <c r="E158" s="502"/>
      <c r="F158" s="502"/>
      <c r="G158" s="502"/>
      <c r="H158" s="226"/>
      <c r="I158" s="226"/>
      <c r="J158" s="323"/>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311"/>
      <c r="AG158" s="226"/>
      <c r="AH158" s="503"/>
      <c r="AI158" s="2150"/>
      <c r="AJ158" s="3145"/>
      <c r="AK158" s="2201"/>
    </row>
    <row r="159" spans="1:38" ht="20.100000000000001" customHeight="1">
      <c r="A159" s="461"/>
      <c r="B159" s="251"/>
      <c r="C159" s="226"/>
      <c r="D159" s="226"/>
      <c r="E159" s="226"/>
      <c r="F159" s="226"/>
      <c r="G159" s="226"/>
      <c r="H159" s="226"/>
      <c r="I159" s="226"/>
      <c r="J159" s="323"/>
      <c r="K159" s="226"/>
      <c r="L159" s="226"/>
      <c r="M159" s="226"/>
      <c r="N159" s="226"/>
      <c r="O159" s="226"/>
      <c r="P159" s="226"/>
      <c r="Q159" s="226"/>
      <c r="R159" s="226"/>
      <c r="S159" s="226"/>
      <c r="T159" s="226"/>
      <c r="U159" s="226"/>
      <c r="V159" s="226"/>
      <c r="W159" s="226"/>
      <c r="X159" s="226"/>
      <c r="Y159" s="226"/>
      <c r="Z159" s="226"/>
      <c r="AA159" s="226"/>
      <c r="AB159" s="226"/>
      <c r="AC159" s="226"/>
      <c r="AD159" s="226"/>
      <c r="AE159" s="226"/>
      <c r="AF159" s="311"/>
      <c r="AG159" s="226"/>
      <c r="AH159" s="503"/>
      <c r="AI159" s="2150"/>
      <c r="AJ159" s="3145"/>
      <c r="AK159" s="2201"/>
    </row>
    <row r="160" spans="1:38" ht="20.100000000000001" customHeight="1">
      <c r="A160" s="461"/>
      <c r="B160" s="251"/>
      <c r="C160" s="226"/>
      <c r="D160" s="226"/>
      <c r="E160" s="226"/>
      <c r="F160" s="226"/>
      <c r="G160" s="226"/>
      <c r="H160" s="226"/>
      <c r="I160" s="226"/>
      <c r="J160" s="323"/>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311"/>
      <c r="AG160" s="226"/>
      <c r="AH160" s="503"/>
      <c r="AI160" s="2150"/>
      <c r="AJ160" s="3145"/>
      <c r="AK160" s="2201"/>
      <c r="AL160" s="226"/>
    </row>
    <row r="161" spans="1:38" ht="20.100000000000001" customHeight="1">
      <c r="A161" s="461"/>
      <c r="B161" s="251"/>
      <c r="C161" s="226"/>
      <c r="D161" s="226"/>
      <c r="E161" s="226"/>
      <c r="F161" s="226"/>
      <c r="G161" s="226"/>
      <c r="H161" s="226"/>
      <c r="I161" s="226"/>
      <c r="J161" s="323"/>
      <c r="K161" s="226"/>
      <c r="L161" s="226"/>
      <c r="M161" s="226"/>
      <c r="N161" s="226"/>
      <c r="O161" s="226"/>
      <c r="P161" s="226"/>
      <c r="Q161" s="226"/>
      <c r="R161" s="226"/>
      <c r="S161" s="226"/>
      <c r="T161" s="226"/>
      <c r="U161" s="226"/>
      <c r="V161" s="226"/>
      <c r="W161" s="226"/>
      <c r="X161" s="226"/>
      <c r="Y161" s="226"/>
      <c r="Z161" s="226"/>
      <c r="AA161" s="226"/>
      <c r="AB161" s="226"/>
      <c r="AC161" s="226"/>
      <c r="AD161" s="226"/>
      <c r="AE161" s="226"/>
      <c r="AF161" s="311"/>
      <c r="AG161" s="226"/>
      <c r="AH161" s="503"/>
      <c r="AI161" s="2150"/>
      <c r="AJ161" s="3145"/>
      <c r="AK161" s="2201"/>
      <c r="AL161" s="226"/>
    </row>
    <row r="162" spans="1:38" ht="20.100000000000001" customHeight="1">
      <c r="B162" s="251"/>
      <c r="C162" s="226"/>
      <c r="D162" s="226"/>
      <c r="E162" s="226"/>
      <c r="F162" s="226"/>
      <c r="G162" s="226"/>
      <c r="H162" s="226"/>
      <c r="I162" s="226"/>
      <c r="J162" s="323"/>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311"/>
      <c r="AG162" s="226"/>
      <c r="AH162" s="226"/>
      <c r="AI162" s="2150"/>
      <c r="AJ162" s="3145"/>
      <c r="AK162" s="2201"/>
      <c r="AL162" s="226"/>
    </row>
    <row r="163" spans="1:38" ht="20.100000000000001" customHeight="1">
      <c r="B163" s="226"/>
      <c r="C163" s="226"/>
      <c r="D163" s="226"/>
      <c r="E163" s="226"/>
      <c r="F163" s="226"/>
      <c r="G163" s="226"/>
      <c r="H163" s="226"/>
      <c r="I163" s="226"/>
      <c r="J163" s="323"/>
      <c r="K163" s="226"/>
      <c r="L163" s="226"/>
      <c r="M163" s="226"/>
      <c r="N163" s="226"/>
      <c r="O163" s="226"/>
      <c r="P163" s="226"/>
      <c r="Q163" s="226"/>
      <c r="R163" s="226"/>
      <c r="S163" s="226"/>
      <c r="T163" s="226"/>
      <c r="U163" s="226"/>
      <c r="V163" s="226"/>
      <c r="W163" s="226"/>
      <c r="X163" s="226"/>
      <c r="Y163" s="226"/>
      <c r="Z163" s="226"/>
      <c r="AA163" s="226"/>
      <c r="AB163" s="226"/>
      <c r="AC163" s="226"/>
      <c r="AD163" s="226"/>
      <c r="AE163" s="226"/>
      <c r="AF163" s="311"/>
      <c r="AG163" s="226"/>
      <c r="AH163" s="226"/>
      <c r="AI163" s="2150"/>
      <c r="AJ163" s="3145"/>
      <c r="AK163" s="2201"/>
      <c r="AL163" s="226"/>
    </row>
    <row r="164" spans="1:38" ht="20.100000000000001" customHeight="1">
      <c r="B164" s="505"/>
      <c r="C164" s="226"/>
      <c r="D164" s="226"/>
      <c r="E164" s="226"/>
      <c r="F164" s="226"/>
      <c r="G164" s="226"/>
      <c r="H164" s="226"/>
      <c r="I164" s="226"/>
      <c r="J164" s="323"/>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311"/>
      <c r="AG164" s="226"/>
      <c r="AI164" s="462"/>
      <c r="AJ164" s="2362"/>
      <c r="AK164" s="1735"/>
      <c r="AL164" s="226"/>
    </row>
    <row r="165" spans="1:38" ht="20.100000000000001" customHeight="1">
      <c r="B165" s="226"/>
      <c r="C165" s="226"/>
      <c r="D165" s="226"/>
      <c r="E165" s="226"/>
      <c r="F165" s="226"/>
      <c r="G165" s="226"/>
      <c r="H165" s="226"/>
      <c r="I165" s="226"/>
      <c r="J165" s="323"/>
      <c r="K165" s="226"/>
      <c r="L165" s="226"/>
      <c r="M165" s="226"/>
      <c r="N165" s="226"/>
      <c r="O165" s="226"/>
      <c r="P165" s="226"/>
      <c r="Q165" s="226"/>
      <c r="R165" s="226"/>
      <c r="S165" s="226"/>
      <c r="T165" s="226"/>
      <c r="U165" s="226"/>
      <c r="V165" s="226"/>
      <c r="W165" s="226"/>
      <c r="X165" s="226"/>
      <c r="Y165" s="226"/>
      <c r="Z165" s="226"/>
      <c r="AA165" s="226"/>
      <c r="AB165" s="226"/>
      <c r="AC165" s="226"/>
      <c r="AD165" s="226"/>
      <c r="AE165" s="226"/>
      <c r="AF165" s="311"/>
      <c r="AG165" s="226"/>
      <c r="AI165" s="462"/>
      <c r="AJ165" s="2362"/>
      <c r="AK165" s="1735"/>
      <c r="AL165" s="226"/>
    </row>
    <row r="166" spans="1:38" ht="20.100000000000001" customHeight="1">
      <c r="B166" s="226"/>
      <c r="C166" s="226"/>
      <c r="D166" s="226"/>
      <c r="E166" s="226"/>
      <c r="F166" s="226"/>
      <c r="G166" s="226"/>
      <c r="H166" s="226"/>
      <c r="I166" s="226"/>
      <c r="J166" s="323"/>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311"/>
      <c r="AG166" s="226"/>
      <c r="AI166" s="462"/>
      <c r="AJ166" s="2362"/>
      <c r="AK166" s="1735"/>
      <c r="AL166" s="226"/>
    </row>
    <row r="167" spans="1:38" ht="20.100000000000001" customHeight="1">
      <c r="B167" s="462"/>
      <c r="C167" s="462"/>
      <c r="D167" s="462"/>
      <c r="E167" s="462"/>
      <c r="F167" s="462"/>
      <c r="G167" s="462"/>
      <c r="H167" s="462"/>
      <c r="I167" s="462"/>
      <c r="J167" s="2415"/>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1974"/>
      <c r="AG167" s="462"/>
      <c r="AI167" s="462"/>
      <c r="AJ167" s="2362"/>
      <c r="AK167" s="1735"/>
      <c r="AL167" s="226"/>
    </row>
    <row r="168" spans="1:38" ht="20.100000000000001" customHeight="1">
      <c r="B168" s="462"/>
      <c r="C168" s="462"/>
      <c r="D168" s="462"/>
      <c r="E168" s="462"/>
      <c r="F168" s="462"/>
      <c r="G168" s="462"/>
      <c r="H168" s="462"/>
      <c r="I168" s="462"/>
      <c r="J168" s="2415"/>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1974"/>
      <c r="AG168" s="462"/>
    </row>
    <row r="169" spans="1:38" ht="20.100000000000001" customHeight="1">
      <c r="B169" s="462"/>
      <c r="C169" s="462"/>
      <c r="D169" s="462"/>
      <c r="E169" s="462"/>
      <c r="F169" s="462"/>
      <c r="G169" s="462"/>
      <c r="H169" s="462"/>
      <c r="I169" s="462"/>
      <c r="J169" s="2415"/>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1974"/>
      <c r="AG169" s="462"/>
    </row>
    <row r="170" spans="1:38" ht="20.100000000000001" customHeight="1">
      <c r="B170" s="462"/>
      <c r="C170" s="462"/>
      <c r="D170" s="462"/>
      <c r="E170" s="462"/>
      <c r="F170" s="462"/>
      <c r="G170" s="462"/>
      <c r="H170" s="462"/>
      <c r="I170" s="462"/>
      <c r="J170" s="2415"/>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1974"/>
      <c r="AG170" s="462"/>
    </row>
    <row r="171" spans="1:38" ht="20.100000000000001" customHeight="1">
      <c r="B171" s="462"/>
      <c r="C171" s="462"/>
      <c r="D171" s="462"/>
      <c r="E171" s="462"/>
      <c r="F171" s="462"/>
      <c r="G171" s="462"/>
      <c r="H171" s="462"/>
      <c r="I171" s="462"/>
      <c r="J171" s="2415"/>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1974"/>
      <c r="AG171" s="462"/>
    </row>
    <row r="172" spans="1:38">
      <c r="B172" s="462"/>
      <c r="C172" s="462"/>
      <c r="D172" s="462"/>
      <c r="E172" s="462"/>
      <c r="F172" s="462"/>
      <c r="G172" s="462"/>
      <c r="H172" s="462"/>
      <c r="I172" s="462"/>
      <c r="J172" s="2415"/>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1974"/>
      <c r="AG172" s="462"/>
    </row>
    <row r="173" spans="1:38">
      <c r="B173" s="462"/>
      <c r="C173" s="462"/>
      <c r="D173" s="462"/>
      <c r="E173" s="462"/>
      <c r="F173" s="462"/>
      <c r="G173" s="462"/>
      <c r="H173" s="462"/>
      <c r="I173" s="462"/>
      <c r="J173" s="2415"/>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1974"/>
      <c r="AG173" s="462"/>
    </row>
    <row r="174" spans="1:38">
      <c r="B174" s="462"/>
      <c r="C174" s="462"/>
      <c r="D174" s="462"/>
      <c r="E174" s="462"/>
      <c r="F174" s="462"/>
      <c r="G174" s="462"/>
      <c r="H174" s="462"/>
      <c r="I174" s="462"/>
      <c r="J174" s="2415"/>
      <c r="K174" s="462"/>
      <c r="L174" s="462"/>
      <c r="M174" s="462"/>
      <c r="N174" s="462"/>
      <c r="O174" s="462"/>
      <c r="P174" s="462"/>
      <c r="Q174" s="462"/>
      <c r="R174" s="462"/>
      <c r="S174" s="462"/>
      <c r="T174" s="462"/>
      <c r="U174" s="462"/>
      <c r="V174" s="462"/>
      <c r="W174" s="462"/>
      <c r="X174" s="462"/>
      <c r="Y174" s="462"/>
      <c r="Z174" s="462"/>
      <c r="AA174" s="462"/>
      <c r="AB174" s="462"/>
      <c r="AC174" s="462"/>
      <c r="AD174" s="462"/>
      <c r="AE174" s="462"/>
      <c r="AF174" s="1974"/>
      <c r="AG174" s="462"/>
    </row>
    <row r="175" spans="1:38">
      <c r="B175" s="462"/>
      <c r="C175" s="462"/>
      <c r="D175" s="462"/>
      <c r="E175" s="462"/>
      <c r="F175" s="462"/>
      <c r="G175" s="462"/>
      <c r="H175" s="462"/>
      <c r="I175" s="462"/>
      <c r="J175" s="2415"/>
      <c r="K175" s="462"/>
      <c r="L175" s="462"/>
      <c r="M175" s="462"/>
      <c r="N175" s="462"/>
      <c r="O175" s="462"/>
      <c r="P175" s="462"/>
      <c r="Q175" s="462"/>
      <c r="R175" s="462"/>
      <c r="S175" s="462"/>
      <c r="T175" s="462"/>
      <c r="U175" s="462"/>
      <c r="V175" s="462"/>
      <c r="W175" s="462"/>
      <c r="X175" s="462"/>
      <c r="Y175" s="462"/>
      <c r="Z175" s="462"/>
      <c r="AA175" s="462"/>
      <c r="AB175" s="462"/>
      <c r="AC175" s="462"/>
      <c r="AD175" s="462"/>
      <c r="AE175" s="462"/>
      <c r="AF175" s="1974"/>
      <c r="AG175" s="462"/>
    </row>
    <row r="176" spans="1:38">
      <c r="B176" s="462"/>
      <c r="C176" s="462"/>
      <c r="D176" s="462"/>
      <c r="E176" s="462"/>
      <c r="F176" s="462"/>
      <c r="G176" s="462"/>
      <c r="H176" s="462"/>
      <c r="I176" s="462"/>
      <c r="J176" s="2415"/>
      <c r="K176" s="462"/>
      <c r="L176" s="462"/>
      <c r="M176" s="462"/>
      <c r="N176" s="462"/>
      <c r="O176" s="462"/>
      <c r="P176" s="462"/>
      <c r="Q176" s="462"/>
      <c r="R176" s="462"/>
      <c r="S176" s="462"/>
      <c r="T176" s="462"/>
      <c r="U176" s="462"/>
      <c r="V176" s="462"/>
      <c r="W176" s="462"/>
      <c r="X176" s="462"/>
      <c r="Y176" s="462"/>
      <c r="Z176" s="462"/>
      <c r="AA176" s="462"/>
      <c r="AB176" s="462"/>
      <c r="AC176" s="462"/>
      <c r="AD176" s="462"/>
      <c r="AE176" s="462"/>
      <c r="AF176" s="1974"/>
      <c r="AG176" s="462"/>
    </row>
    <row r="177" spans="2:33">
      <c r="B177" s="462"/>
      <c r="C177" s="462"/>
      <c r="D177" s="462"/>
      <c r="E177" s="462"/>
      <c r="F177" s="462"/>
      <c r="G177" s="462"/>
      <c r="H177" s="462"/>
      <c r="I177" s="462"/>
      <c r="J177" s="2415"/>
      <c r="K177" s="462"/>
      <c r="L177" s="462"/>
      <c r="M177" s="462"/>
      <c r="N177" s="462"/>
      <c r="O177" s="462"/>
      <c r="P177" s="462"/>
      <c r="Q177" s="462"/>
      <c r="R177" s="462"/>
      <c r="S177" s="462"/>
      <c r="T177" s="462"/>
      <c r="U177" s="462"/>
      <c r="V177" s="462"/>
      <c r="W177" s="462"/>
      <c r="X177" s="462"/>
      <c r="Y177" s="462"/>
      <c r="Z177" s="462"/>
      <c r="AA177" s="462"/>
      <c r="AB177" s="462"/>
      <c r="AC177" s="462"/>
      <c r="AD177" s="462"/>
      <c r="AE177" s="462"/>
      <c r="AF177" s="1974"/>
      <c r="AG177" s="462"/>
    </row>
    <row r="178" spans="2:33">
      <c r="B178" s="462"/>
      <c r="C178" s="462"/>
      <c r="D178" s="462"/>
      <c r="E178" s="462"/>
      <c r="F178" s="462"/>
      <c r="G178" s="462"/>
      <c r="H178" s="462"/>
      <c r="I178" s="462"/>
      <c r="J178" s="2415"/>
      <c r="K178" s="462"/>
      <c r="L178" s="462"/>
      <c r="M178" s="462"/>
      <c r="N178" s="462"/>
      <c r="O178" s="462"/>
      <c r="P178" s="462"/>
      <c r="Q178" s="462"/>
      <c r="R178" s="462"/>
      <c r="S178" s="462"/>
      <c r="T178" s="462"/>
      <c r="U178" s="462"/>
      <c r="V178" s="462"/>
      <c r="W178" s="462"/>
      <c r="X178" s="462"/>
      <c r="Y178" s="462"/>
      <c r="Z178" s="462"/>
      <c r="AA178" s="462"/>
      <c r="AB178" s="462"/>
      <c r="AC178" s="462"/>
      <c r="AD178" s="462"/>
      <c r="AE178" s="462"/>
      <c r="AF178" s="1974"/>
      <c r="AG178" s="462"/>
    </row>
    <row r="179" spans="2:33">
      <c r="B179" s="462"/>
      <c r="C179" s="462"/>
      <c r="D179" s="462"/>
      <c r="E179" s="462"/>
      <c r="F179" s="462"/>
      <c r="G179" s="462"/>
      <c r="H179" s="462"/>
      <c r="I179" s="462"/>
      <c r="J179" s="2415"/>
      <c r="K179" s="462"/>
      <c r="L179" s="462"/>
      <c r="M179" s="462"/>
      <c r="N179" s="462"/>
      <c r="O179" s="462"/>
      <c r="P179" s="462"/>
      <c r="Q179" s="462"/>
      <c r="R179" s="462"/>
      <c r="S179" s="462"/>
      <c r="T179" s="462"/>
      <c r="U179" s="462"/>
      <c r="V179" s="462"/>
      <c r="W179" s="462"/>
      <c r="X179" s="462"/>
      <c r="Y179" s="462"/>
      <c r="Z179" s="462"/>
      <c r="AA179" s="462"/>
      <c r="AB179" s="462"/>
      <c r="AC179" s="462"/>
      <c r="AD179" s="462"/>
      <c r="AE179" s="462"/>
      <c r="AF179" s="1974"/>
      <c r="AG179" s="462"/>
    </row>
    <row r="180" spans="2:33">
      <c r="B180" s="462"/>
      <c r="C180" s="462"/>
      <c r="D180" s="462"/>
      <c r="E180" s="462"/>
      <c r="F180" s="462"/>
      <c r="G180" s="462"/>
      <c r="H180" s="462"/>
      <c r="I180" s="462"/>
      <c r="J180" s="2415"/>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1974"/>
      <c r="AG180" s="462"/>
    </row>
    <row r="181" spans="2:33">
      <c r="B181" s="462"/>
      <c r="C181" s="462"/>
      <c r="D181" s="462"/>
      <c r="E181" s="462"/>
      <c r="F181" s="462"/>
      <c r="G181" s="462"/>
      <c r="H181" s="462"/>
      <c r="I181" s="462"/>
      <c r="J181" s="2415"/>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1974"/>
      <c r="AG181" s="462"/>
    </row>
    <row r="182" spans="2:33">
      <c r="B182" s="462"/>
      <c r="C182" s="462"/>
      <c r="D182" s="462"/>
      <c r="E182" s="462"/>
      <c r="F182" s="462"/>
      <c r="G182" s="462"/>
      <c r="H182" s="462"/>
      <c r="I182" s="462"/>
      <c r="J182" s="2415"/>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1974"/>
      <c r="AG182" s="462"/>
    </row>
    <row r="183" spans="2:33">
      <c r="B183" s="462"/>
      <c r="C183" s="462"/>
      <c r="D183" s="462"/>
      <c r="E183" s="462"/>
      <c r="F183" s="462"/>
      <c r="G183" s="462"/>
      <c r="H183" s="462"/>
      <c r="I183" s="462"/>
      <c r="J183" s="2415"/>
      <c r="K183" s="462"/>
      <c r="L183" s="462"/>
      <c r="M183" s="462"/>
      <c r="N183" s="462"/>
      <c r="O183" s="462"/>
      <c r="P183" s="462"/>
      <c r="Q183" s="462"/>
      <c r="R183" s="462"/>
      <c r="S183" s="462"/>
      <c r="T183" s="462"/>
      <c r="U183" s="462"/>
      <c r="V183" s="462"/>
      <c r="W183" s="462"/>
      <c r="X183" s="462"/>
      <c r="Y183" s="462"/>
      <c r="Z183" s="462"/>
      <c r="AA183" s="462"/>
      <c r="AB183" s="462"/>
      <c r="AC183" s="462"/>
      <c r="AD183" s="462"/>
      <c r="AE183" s="462"/>
      <c r="AF183" s="1974"/>
      <c r="AG183" s="462"/>
    </row>
    <row r="184" spans="2:33">
      <c r="B184" s="462"/>
      <c r="C184" s="462"/>
      <c r="D184" s="462"/>
      <c r="E184" s="462"/>
      <c r="F184" s="462"/>
      <c r="G184" s="462"/>
      <c r="H184" s="462"/>
      <c r="I184" s="462"/>
      <c r="J184" s="2415"/>
      <c r="K184" s="462"/>
      <c r="L184" s="462"/>
      <c r="M184" s="462"/>
      <c r="N184" s="462"/>
      <c r="O184" s="462"/>
      <c r="P184" s="462"/>
      <c r="Q184" s="462"/>
      <c r="R184" s="462"/>
      <c r="S184" s="462"/>
      <c r="T184" s="462"/>
      <c r="U184" s="462"/>
      <c r="V184" s="462"/>
      <c r="W184" s="462"/>
      <c r="X184" s="462"/>
      <c r="Y184" s="462"/>
      <c r="Z184" s="462"/>
      <c r="AA184" s="462"/>
      <c r="AB184" s="462"/>
      <c r="AC184" s="462"/>
      <c r="AD184" s="462"/>
      <c r="AE184" s="462"/>
      <c r="AF184" s="1974"/>
      <c r="AG184" s="462"/>
    </row>
    <row r="185" spans="2:33">
      <c r="B185" s="462"/>
      <c r="C185" s="462"/>
      <c r="D185" s="462"/>
      <c r="E185" s="462"/>
      <c r="F185" s="462"/>
      <c r="G185" s="462"/>
      <c r="H185" s="462"/>
      <c r="I185" s="462"/>
      <c r="J185" s="2415"/>
      <c r="K185" s="462"/>
      <c r="L185" s="462"/>
      <c r="M185" s="462"/>
      <c r="N185" s="462"/>
      <c r="O185" s="462"/>
      <c r="P185" s="462"/>
      <c r="Q185" s="462"/>
      <c r="R185" s="462"/>
      <c r="S185" s="462"/>
      <c r="T185" s="462"/>
      <c r="U185" s="462"/>
      <c r="V185" s="462"/>
      <c r="W185" s="462"/>
      <c r="X185" s="462"/>
      <c r="Y185" s="462"/>
      <c r="Z185" s="462"/>
      <c r="AA185" s="462"/>
      <c r="AB185" s="462"/>
      <c r="AC185" s="462"/>
      <c r="AD185" s="462"/>
      <c r="AE185" s="462"/>
      <c r="AF185" s="1974"/>
      <c r="AG185" s="462"/>
    </row>
    <row r="186" spans="2:33">
      <c r="B186" s="462"/>
      <c r="C186" s="462"/>
      <c r="D186" s="462"/>
      <c r="E186" s="462"/>
      <c r="F186" s="462"/>
      <c r="G186" s="462"/>
      <c r="H186" s="462"/>
      <c r="I186" s="462"/>
      <c r="J186" s="2415"/>
      <c r="K186" s="462"/>
      <c r="L186" s="462"/>
      <c r="M186" s="462"/>
      <c r="N186" s="462"/>
      <c r="O186" s="462"/>
      <c r="P186" s="462"/>
      <c r="Q186" s="462"/>
      <c r="R186" s="462"/>
      <c r="S186" s="462"/>
      <c r="T186" s="462"/>
      <c r="U186" s="462"/>
      <c r="V186" s="462"/>
      <c r="W186" s="462"/>
      <c r="X186" s="462"/>
      <c r="Y186" s="462"/>
      <c r="Z186" s="462"/>
      <c r="AA186" s="462"/>
      <c r="AB186" s="462"/>
      <c r="AC186" s="462"/>
      <c r="AD186" s="462"/>
      <c r="AE186" s="462"/>
      <c r="AF186" s="1974"/>
      <c r="AG186" s="462"/>
    </row>
    <row r="187" spans="2:33">
      <c r="B187" s="462"/>
      <c r="C187" s="462"/>
      <c r="D187" s="462"/>
      <c r="E187" s="462"/>
      <c r="F187" s="462"/>
      <c r="G187" s="462"/>
      <c r="H187" s="462"/>
      <c r="I187" s="462"/>
      <c r="J187" s="2415"/>
      <c r="K187" s="462"/>
      <c r="L187" s="462"/>
      <c r="M187" s="462"/>
      <c r="N187" s="462"/>
      <c r="O187" s="462"/>
      <c r="P187" s="462"/>
      <c r="Q187" s="462"/>
      <c r="R187" s="462"/>
      <c r="S187" s="462"/>
      <c r="T187" s="462"/>
      <c r="U187" s="462"/>
      <c r="V187" s="462"/>
      <c r="W187" s="462"/>
      <c r="X187" s="462"/>
      <c r="Y187" s="462"/>
      <c r="Z187" s="462"/>
      <c r="AA187" s="462"/>
      <c r="AB187" s="462"/>
      <c r="AC187" s="462"/>
      <c r="AD187" s="462"/>
      <c r="AE187" s="462"/>
      <c r="AF187" s="1974"/>
      <c r="AG187" s="462"/>
    </row>
    <row r="188" spans="2:33">
      <c r="B188" s="462"/>
      <c r="C188" s="462"/>
      <c r="D188" s="462"/>
      <c r="E188" s="462"/>
      <c r="F188" s="462"/>
      <c r="G188" s="462"/>
      <c r="H188" s="462"/>
      <c r="I188" s="462"/>
      <c r="J188" s="2415"/>
      <c r="K188" s="462"/>
      <c r="L188" s="462"/>
      <c r="M188" s="462"/>
      <c r="N188" s="462"/>
      <c r="O188" s="462"/>
      <c r="P188" s="462"/>
      <c r="Q188" s="462"/>
      <c r="R188" s="462"/>
      <c r="S188" s="462"/>
      <c r="T188" s="462"/>
      <c r="U188" s="462"/>
      <c r="V188" s="462"/>
      <c r="W188" s="462"/>
      <c r="X188" s="462"/>
      <c r="Y188" s="462"/>
      <c r="Z188" s="462"/>
      <c r="AA188" s="462"/>
      <c r="AB188" s="462"/>
      <c r="AC188" s="462"/>
      <c r="AD188" s="462"/>
      <c r="AE188" s="462"/>
      <c r="AF188" s="1974"/>
      <c r="AG188" s="462"/>
    </row>
    <row r="189" spans="2:33">
      <c r="B189" s="462"/>
      <c r="C189" s="462"/>
      <c r="D189" s="462"/>
      <c r="E189" s="462"/>
      <c r="F189" s="462"/>
      <c r="G189" s="462"/>
      <c r="H189" s="462"/>
      <c r="I189" s="462"/>
      <c r="J189" s="2415"/>
      <c r="K189" s="462"/>
      <c r="L189" s="462"/>
      <c r="M189" s="462"/>
      <c r="N189" s="462"/>
      <c r="O189" s="462"/>
      <c r="P189" s="462"/>
      <c r="Q189" s="462"/>
      <c r="R189" s="462"/>
      <c r="S189" s="462"/>
      <c r="T189" s="462"/>
      <c r="U189" s="462"/>
      <c r="V189" s="462"/>
      <c r="W189" s="462"/>
      <c r="X189" s="462"/>
      <c r="Y189" s="462"/>
      <c r="Z189" s="462"/>
      <c r="AA189" s="462"/>
      <c r="AB189" s="462"/>
      <c r="AC189" s="462"/>
      <c r="AD189" s="462"/>
      <c r="AE189" s="462"/>
      <c r="AF189" s="1974"/>
      <c r="AG189" s="462"/>
    </row>
    <row r="190" spans="2:33">
      <c r="B190" s="462"/>
      <c r="C190" s="462"/>
      <c r="D190" s="462"/>
      <c r="E190" s="462"/>
      <c r="F190" s="462"/>
      <c r="G190" s="462"/>
      <c r="H190" s="462"/>
      <c r="I190" s="462"/>
      <c r="J190" s="2415"/>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1974"/>
      <c r="AG190" s="462"/>
    </row>
    <row r="191" spans="2:33">
      <c r="B191" s="462"/>
      <c r="C191" s="462"/>
      <c r="D191" s="462"/>
      <c r="E191" s="462"/>
      <c r="F191" s="462"/>
      <c r="G191" s="462"/>
      <c r="H191" s="462"/>
      <c r="I191" s="462"/>
      <c r="J191" s="2415"/>
      <c r="K191" s="462"/>
      <c r="L191" s="462"/>
      <c r="M191" s="462"/>
      <c r="N191" s="462"/>
      <c r="O191" s="462"/>
      <c r="P191" s="462"/>
      <c r="Q191" s="462"/>
      <c r="R191" s="462"/>
      <c r="S191" s="462"/>
      <c r="T191" s="462"/>
      <c r="U191" s="462"/>
      <c r="V191" s="462"/>
      <c r="W191" s="462"/>
      <c r="X191" s="462"/>
      <c r="Y191" s="462"/>
      <c r="Z191" s="462"/>
      <c r="AA191" s="462"/>
      <c r="AB191" s="462"/>
      <c r="AC191" s="462"/>
      <c r="AD191" s="462"/>
      <c r="AE191" s="462"/>
      <c r="AF191" s="1974"/>
      <c r="AG191" s="462"/>
    </row>
    <row r="192" spans="2:33">
      <c r="B192" s="462"/>
      <c r="C192" s="462"/>
      <c r="D192" s="462"/>
      <c r="E192" s="462"/>
      <c r="F192" s="462"/>
      <c r="G192" s="462"/>
      <c r="H192" s="462"/>
      <c r="I192" s="462"/>
      <c r="J192" s="2415"/>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1974"/>
      <c r="AG192" s="462"/>
    </row>
    <row r="193" spans="2:33">
      <c r="B193" s="462"/>
      <c r="C193" s="462"/>
      <c r="D193" s="462"/>
      <c r="E193" s="462"/>
      <c r="F193" s="462"/>
      <c r="G193" s="462"/>
      <c r="H193" s="462"/>
      <c r="I193" s="462"/>
      <c r="J193" s="2415"/>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1974"/>
      <c r="AG193" s="462"/>
    </row>
    <row r="194" spans="2:33">
      <c r="B194" s="462"/>
      <c r="C194" s="462"/>
      <c r="D194" s="462"/>
      <c r="E194" s="462"/>
      <c r="F194" s="462"/>
      <c r="G194" s="462"/>
      <c r="H194" s="462"/>
      <c r="I194" s="462"/>
      <c r="J194" s="2415"/>
      <c r="K194" s="462"/>
      <c r="L194" s="462"/>
      <c r="M194" s="462"/>
      <c r="N194" s="462"/>
      <c r="O194" s="462"/>
      <c r="P194" s="462"/>
      <c r="Q194" s="462"/>
      <c r="R194" s="462"/>
      <c r="S194" s="462"/>
      <c r="T194" s="462"/>
      <c r="U194" s="462"/>
      <c r="V194" s="462"/>
      <c r="W194" s="462"/>
      <c r="X194" s="462"/>
      <c r="Y194" s="462"/>
      <c r="Z194" s="462"/>
      <c r="AA194" s="462"/>
      <c r="AB194" s="462"/>
      <c r="AC194" s="462"/>
      <c r="AD194" s="462"/>
      <c r="AE194" s="462"/>
      <c r="AF194" s="1974"/>
      <c r="AG194" s="462"/>
    </row>
    <row r="195" spans="2:33">
      <c r="B195" s="462"/>
      <c r="C195" s="462"/>
      <c r="D195" s="462"/>
      <c r="E195" s="462"/>
      <c r="F195" s="462"/>
      <c r="G195" s="462"/>
      <c r="H195" s="462"/>
      <c r="I195" s="462"/>
      <c r="J195" s="2415"/>
      <c r="K195" s="462"/>
      <c r="L195" s="462"/>
      <c r="M195" s="462"/>
      <c r="N195" s="462"/>
      <c r="O195" s="462"/>
      <c r="P195" s="462"/>
      <c r="Q195" s="462"/>
      <c r="R195" s="462"/>
      <c r="S195" s="462"/>
      <c r="T195" s="462"/>
      <c r="U195" s="462"/>
      <c r="V195" s="462"/>
      <c r="W195" s="462"/>
      <c r="X195" s="462"/>
      <c r="Y195" s="462"/>
      <c r="Z195" s="462"/>
      <c r="AA195" s="462"/>
      <c r="AB195" s="462"/>
      <c r="AC195" s="462"/>
      <c r="AD195" s="462"/>
      <c r="AE195" s="462"/>
      <c r="AF195" s="1974"/>
      <c r="AG195" s="462"/>
    </row>
    <row r="196" spans="2:33">
      <c r="B196" s="462"/>
      <c r="C196" s="462"/>
      <c r="D196" s="462"/>
      <c r="E196" s="462"/>
      <c r="F196" s="462"/>
      <c r="G196" s="462"/>
      <c r="H196" s="462"/>
      <c r="I196" s="462"/>
      <c r="J196" s="2415"/>
      <c r="K196" s="462"/>
      <c r="L196" s="462"/>
      <c r="M196" s="462"/>
      <c r="N196" s="462"/>
      <c r="O196" s="462"/>
      <c r="P196" s="462"/>
      <c r="Q196" s="462"/>
      <c r="R196" s="462"/>
      <c r="S196" s="462"/>
      <c r="T196" s="462"/>
      <c r="U196" s="462"/>
      <c r="V196" s="462"/>
      <c r="W196" s="462"/>
      <c r="X196" s="462"/>
      <c r="Y196" s="462"/>
      <c r="Z196" s="462"/>
      <c r="AA196" s="462"/>
      <c r="AB196" s="462"/>
      <c r="AC196" s="462"/>
      <c r="AD196" s="462"/>
      <c r="AE196" s="462"/>
      <c r="AF196" s="1974"/>
      <c r="AG196" s="462"/>
    </row>
    <row r="197" spans="2:33">
      <c r="B197" s="462"/>
      <c r="C197" s="462"/>
      <c r="D197" s="462"/>
      <c r="E197" s="462"/>
      <c r="F197" s="462"/>
      <c r="G197" s="462"/>
      <c r="H197" s="462"/>
      <c r="I197" s="462"/>
      <c r="J197" s="2415"/>
      <c r="K197" s="462"/>
      <c r="L197" s="462"/>
      <c r="M197" s="462"/>
      <c r="N197" s="462"/>
      <c r="O197" s="462"/>
      <c r="P197" s="462"/>
      <c r="Q197" s="462"/>
      <c r="R197" s="462"/>
      <c r="S197" s="462"/>
      <c r="T197" s="462"/>
      <c r="U197" s="462"/>
      <c r="V197" s="462"/>
      <c r="W197" s="462"/>
      <c r="X197" s="462"/>
      <c r="Y197" s="462"/>
      <c r="Z197" s="462"/>
      <c r="AA197" s="462"/>
      <c r="AB197" s="462"/>
      <c r="AC197" s="462"/>
      <c r="AD197" s="462"/>
      <c r="AE197" s="462"/>
      <c r="AF197" s="1974"/>
      <c r="AG197" s="462"/>
    </row>
    <row r="198" spans="2:33">
      <c r="B198" s="462"/>
      <c r="C198" s="462"/>
      <c r="D198" s="462"/>
      <c r="E198" s="462"/>
      <c r="F198" s="462"/>
      <c r="G198" s="462"/>
      <c r="H198" s="462"/>
      <c r="I198" s="462"/>
      <c r="J198" s="2415"/>
      <c r="K198" s="462"/>
      <c r="L198" s="462"/>
      <c r="M198" s="462"/>
      <c r="N198" s="462"/>
      <c r="O198" s="462"/>
      <c r="P198" s="462"/>
      <c r="Q198" s="462"/>
      <c r="R198" s="462"/>
      <c r="S198" s="462"/>
      <c r="T198" s="462"/>
      <c r="U198" s="462"/>
      <c r="V198" s="462"/>
      <c r="W198" s="462"/>
      <c r="X198" s="462"/>
      <c r="Y198" s="462"/>
      <c r="Z198" s="462"/>
      <c r="AA198" s="462"/>
      <c r="AB198" s="462"/>
      <c r="AC198" s="462"/>
      <c r="AD198" s="462"/>
      <c r="AE198" s="462"/>
      <c r="AF198" s="1974"/>
      <c r="AG198" s="462"/>
    </row>
    <row r="199" spans="2:33">
      <c r="B199" s="462"/>
      <c r="C199" s="462"/>
      <c r="D199" s="462"/>
      <c r="E199" s="462"/>
      <c r="F199" s="462"/>
      <c r="G199" s="462"/>
      <c r="H199" s="462"/>
      <c r="I199" s="462"/>
      <c r="J199" s="2415"/>
      <c r="K199" s="462"/>
      <c r="L199" s="462"/>
      <c r="M199" s="462"/>
      <c r="N199" s="462"/>
      <c r="O199" s="462"/>
      <c r="P199" s="462"/>
      <c r="Q199" s="462"/>
      <c r="R199" s="462"/>
      <c r="S199" s="462"/>
      <c r="T199" s="462"/>
      <c r="U199" s="462"/>
      <c r="V199" s="462"/>
      <c r="W199" s="462"/>
      <c r="X199" s="462"/>
      <c r="Y199" s="462"/>
      <c r="Z199" s="462"/>
      <c r="AA199" s="462"/>
      <c r="AB199" s="462"/>
      <c r="AC199" s="462"/>
      <c r="AD199" s="462"/>
      <c r="AE199" s="462"/>
      <c r="AF199" s="1974"/>
      <c r="AG199" s="462"/>
    </row>
    <row r="200" spans="2:33">
      <c r="B200" s="462"/>
      <c r="C200" s="462"/>
      <c r="D200" s="462"/>
      <c r="E200" s="462"/>
      <c r="F200" s="462"/>
      <c r="G200" s="462"/>
      <c r="H200" s="462"/>
      <c r="I200" s="462"/>
      <c r="J200" s="2415"/>
      <c r="K200" s="462"/>
      <c r="L200" s="462"/>
      <c r="M200" s="462"/>
      <c r="N200" s="462"/>
      <c r="O200" s="462"/>
      <c r="P200" s="462"/>
      <c r="Q200" s="462"/>
      <c r="R200" s="462"/>
      <c r="S200" s="462"/>
      <c r="T200" s="462"/>
      <c r="U200" s="462"/>
      <c r="V200" s="462"/>
      <c r="W200" s="462"/>
      <c r="X200" s="462"/>
      <c r="Y200" s="462"/>
      <c r="Z200" s="462"/>
      <c r="AA200" s="462"/>
      <c r="AB200" s="462"/>
      <c r="AC200" s="462"/>
      <c r="AD200" s="462"/>
      <c r="AE200" s="462"/>
      <c r="AF200" s="1974"/>
      <c r="AG200" s="462"/>
    </row>
    <row r="201" spans="2:33">
      <c r="B201" s="462"/>
      <c r="C201" s="462"/>
      <c r="D201" s="462"/>
      <c r="E201" s="462"/>
      <c r="F201" s="462"/>
      <c r="G201" s="462"/>
      <c r="H201" s="462"/>
      <c r="I201" s="462"/>
      <c r="J201" s="2415"/>
      <c r="K201" s="462"/>
      <c r="L201" s="462"/>
      <c r="M201" s="462"/>
      <c r="N201" s="462"/>
      <c r="O201" s="462"/>
      <c r="P201" s="462"/>
      <c r="Q201" s="462"/>
      <c r="R201" s="462"/>
      <c r="S201" s="462"/>
      <c r="T201" s="462"/>
      <c r="U201" s="462"/>
      <c r="V201" s="462"/>
      <c r="W201" s="462"/>
      <c r="X201" s="462"/>
      <c r="Y201" s="462"/>
      <c r="Z201" s="462"/>
      <c r="AA201" s="462"/>
      <c r="AB201" s="462"/>
      <c r="AC201" s="462"/>
      <c r="AD201" s="462"/>
      <c r="AE201" s="462"/>
      <c r="AF201" s="1974"/>
      <c r="AG201" s="462"/>
    </row>
    <row r="202" spans="2:33">
      <c r="B202" s="462"/>
      <c r="C202" s="462"/>
      <c r="D202" s="462"/>
      <c r="E202" s="462"/>
      <c r="F202" s="462"/>
      <c r="G202" s="462"/>
      <c r="H202" s="462"/>
      <c r="I202" s="462"/>
      <c r="J202" s="2415"/>
      <c r="K202" s="462"/>
      <c r="L202" s="462"/>
      <c r="M202" s="462"/>
      <c r="N202" s="462"/>
      <c r="O202" s="462"/>
      <c r="P202" s="462"/>
      <c r="Q202" s="462"/>
      <c r="R202" s="462"/>
      <c r="S202" s="462"/>
      <c r="T202" s="462"/>
      <c r="U202" s="462"/>
      <c r="V202" s="462"/>
      <c r="W202" s="462"/>
      <c r="X202" s="462"/>
      <c r="Y202" s="462"/>
      <c r="Z202" s="462"/>
      <c r="AA202" s="462"/>
      <c r="AB202" s="462"/>
      <c r="AC202" s="462"/>
      <c r="AD202" s="462"/>
      <c r="AE202" s="462"/>
      <c r="AF202" s="1974"/>
      <c r="AG202" s="462"/>
    </row>
    <row r="203" spans="2:33">
      <c r="B203" s="462"/>
      <c r="C203" s="462"/>
      <c r="D203" s="462"/>
      <c r="E203" s="462"/>
      <c r="F203" s="462"/>
      <c r="G203" s="462"/>
      <c r="H203" s="462"/>
      <c r="I203" s="462"/>
      <c r="J203" s="2415"/>
      <c r="K203" s="462"/>
      <c r="L203" s="462"/>
      <c r="M203" s="462"/>
      <c r="N203" s="462"/>
      <c r="O203" s="462"/>
      <c r="P203" s="462"/>
      <c r="Q203" s="462"/>
      <c r="R203" s="462"/>
      <c r="S203" s="462"/>
      <c r="T203" s="462"/>
      <c r="U203" s="462"/>
      <c r="V203" s="462"/>
      <c r="W203" s="462"/>
      <c r="X203" s="462"/>
      <c r="Y203" s="462"/>
      <c r="Z203" s="462"/>
      <c r="AA203" s="462"/>
      <c r="AB203" s="462"/>
      <c r="AC203" s="462"/>
      <c r="AD203" s="462"/>
      <c r="AE203" s="462"/>
      <c r="AF203" s="1974"/>
      <c r="AG203" s="462"/>
    </row>
    <row r="204" spans="2:33">
      <c r="B204" s="462"/>
      <c r="C204" s="462"/>
      <c r="D204" s="462"/>
      <c r="E204" s="462"/>
      <c r="F204" s="462"/>
      <c r="G204" s="462"/>
      <c r="H204" s="462"/>
      <c r="I204" s="462"/>
      <c r="J204" s="2415"/>
      <c r="K204" s="462"/>
      <c r="L204" s="462"/>
      <c r="M204" s="462"/>
      <c r="N204" s="462"/>
      <c r="O204" s="462"/>
      <c r="P204" s="462"/>
      <c r="Q204" s="462"/>
      <c r="R204" s="462"/>
      <c r="S204" s="462"/>
      <c r="T204" s="462"/>
      <c r="U204" s="462"/>
      <c r="V204" s="462"/>
      <c r="W204" s="462"/>
      <c r="X204" s="462"/>
      <c r="Y204" s="462"/>
      <c r="Z204" s="462"/>
      <c r="AA204" s="462"/>
      <c r="AB204" s="462"/>
      <c r="AC204" s="462"/>
      <c r="AD204" s="462"/>
      <c r="AE204" s="462"/>
      <c r="AF204" s="1974"/>
      <c r="AG204" s="462"/>
    </row>
    <row r="205" spans="2:33">
      <c r="B205" s="462"/>
      <c r="C205" s="462"/>
      <c r="D205" s="462"/>
      <c r="E205" s="462"/>
      <c r="F205" s="462"/>
      <c r="G205" s="462"/>
      <c r="H205" s="462"/>
      <c r="I205" s="462"/>
      <c r="J205" s="2415"/>
      <c r="K205" s="462"/>
      <c r="L205" s="462"/>
      <c r="M205" s="462"/>
      <c r="N205" s="462"/>
      <c r="O205" s="462"/>
      <c r="P205" s="462"/>
      <c r="Q205" s="462"/>
      <c r="R205" s="462"/>
      <c r="S205" s="462"/>
      <c r="T205" s="462"/>
      <c r="U205" s="462"/>
      <c r="V205" s="462"/>
      <c r="W205" s="462"/>
      <c r="X205" s="462"/>
      <c r="Y205" s="462"/>
      <c r="Z205" s="462"/>
      <c r="AA205" s="462"/>
      <c r="AB205" s="462"/>
      <c r="AC205" s="462"/>
      <c r="AD205" s="462"/>
      <c r="AE205" s="462"/>
      <c r="AF205" s="1974"/>
      <c r="AG205" s="462"/>
    </row>
    <row r="206" spans="2:33">
      <c r="B206" s="462"/>
      <c r="C206" s="462"/>
      <c r="D206" s="462"/>
      <c r="E206" s="462"/>
      <c r="F206" s="462"/>
      <c r="G206" s="462"/>
      <c r="H206" s="462"/>
      <c r="I206" s="462"/>
      <c r="J206" s="2415"/>
      <c r="K206" s="462"/>
      <c r="L206" s="462"/>
      <c r="M206" s="462"/>
      <c r="N206" s="462"/>
      <c r="O206" s="462"/>
      <c r="P206" s="462"/>
      <c r="Q206" s="462"/>
      <c r="R206" s="462"/>
      <c r="S206" s="462"/>
      <c r="T206" s="462"/>
      <c r="U206" s="462"/>
      <c r="V206" s="462"/>
      <c r="W206" s="462"/>
      <c r="X206" s="462"/>
      <c r="Y206" s="462"/>
      <c r="Z206" s="462"/>
      <c r="AA206" s="462"/>
      <c r="AB206" s="462"/>
      <c r="AC206" s="462"/>
      <c r="AD206" s="462"/>
      <c r="AE206" s="462"/>
      <c r="AF206" s="1974"/>
      <c r="AG206" s="462"/>
    </row>
    <row r="207" spans="2:33">
      <c r="B207" s="462"/>
      <c r="C207" s="462"/>
      <c r="D207" s="462"/>
      <c r="E207" s="462"/>
      <c r="F207" s="462"/>
      <c r="G207" s="462"/>
      <c r="H207" s="462"/>
      <c r="I207" s="462"/>
      <c r="J207" s="2415"/>
      <c r="K207" s="462"/>
      <c r="L207" s="462"/>
      <c r="M207" s="462"/>
      <c r="N207" s="462"/>
      <c r="O207" s="462"/>
      <c r="P207" s="462"/>
      <c r="Q207" s="462"/>
      <c r="R207" s="462"/>
      <c r="S207" s="462"/>
      <c r="T207" s="462"/>
      <c r="U207" s="462"/>
      <c r="V207" s="462"/>
      <c r="W207" s="462"/>
      <c r="X207" s="462"/>
      <c r="Y207" s="462"/>
      <c r="Z207" s="462"/>
      <c r="AA207" s="462"/>
      <c r="AB207" s="462"/>
      <c r="AC207" s="462"/>
      <c r="AD207" s="462"/>
      <c r="AE207" s="462"/>
      <c r="AF207" s="1974"/>
      <c r="AG207" s="462"/>
    </row>
    <row r="208" spans="2:33">
      <c r="B208" s="462"/>
      <c r="C208" s="462"/>
      <c r="D208" s="462"/>
      <c r="E208" s="462"/>
      <c r="F208" s="462"/>
      <c r="G208" s="462"/>
      <c r="H208" s="462"/>
      <c r="I208" s="462"/>
      <c r="J208" s="2415"/>
      <c r="K208" s="462"/>
      <c r="L208" s="462"/>
      <c r="M208" s="462"/>
      <c r="N208" s="462"/>
      <c r="O208" s="462"/>
      <c r="P208" s="462"/>
      <c r="Q208" s="462"/>
      <c r="R208" s="462"/>
      <c r="S208" s="462"/>
      <c r="T208" s="462"/>
      <c r="U208" s="462"/>
      <c r="V208" s="462"/>
      <c r="W208" s="462"/>
      <c r="X208" s="462"/>
      <c r="Y208" s="462"/>
      <c r="Z208" s="462"/>
      <c r="AA208" s="462"/>
      <c r="AB208" s="462"/>
      <c r="AC208" s="462"/>
      <c r="AD208" s="462"/>
      <c r="AE208" s="462"/>
      <c r="AF208" s="1974"/>
      <c r="AG208" s="462"/>
    </row>
    <row r="209" spans="2:33">
      <c r="B209" s="462"/>
      <c r="C209" s="462"/>
      <c r="D209" s="462"/>
      <c r="E209" s="462"/>
      <c r="F209" s="462"/>
      <c r="G209" s="462"/>
      <c r="H209" s="462"/>
      <c r="I209" s="462"/>
      <c r="J209" s="2415"/>
      <c r="K209" s="462"/>
      <c r="L209" s="462"/>
      <c r="M209" s="462"/>
      <c r="N209" s="462"/>
      <c r="O209" s="462"/>
      <c r="P209" s="462"/>
      <c r="Q209" s="462"/>
      <c r="R209" s="462"/>
      <c r="S209" s="462"/>
      <c r="T209" s="462"/>
      <c r="U209" s="462"/>
      <c r="V209" s="462"/>
      <c r="W209" s="462"/>
      <c r="X209" s="462"/>
      <c r="Y209" s="462"/>
      <c r="Z209" s="462"/>
      <c r="AA209" s="462"/>
      <c r="AB209" s="462"/>
      <c r="AC209" s="462"/>
      <c r="AD209" s="462"/>
      <c r="AE209" s="462"/>
      <c r="AF209" s="1974"/>
      <c r="AG209" s="462"/>
    </row>
  </sheetData>
  <customSheetViews>
    <customSheetView guid="{BD09DBC2-63A5-4D9C-9B00-4281066E9389}" scale="60" showPageBreaks="1" showGridLines="0" printArea="1" view="pageBreakPreview" topLeftCell="A64">
      <selection activeCell="AB11" sqref="AB11"/>
      <rowBreaks count="1" manualBreakCount="1">
        <brk id="88" min="1" max="36" man="1"/>
      </rowBreaks>
      <pageMargins left="0.7" right="0.7" top="0.75" bottom="0.75" header="0.3" footer="0.3"/>
      <pageSetup scale="38" firstPageNumber="20" fitToHeight="2" orientation="landscape" useFirstPageNumber="1" r:id="rId1"/>
      <headerFooter scaleWithDoc="0" alignWithMargins="0">
        <oddFooter>&amp;C&amp;8&amp;P</oddFooter>
      </headerFooter>
    </customSheetView>
    <customSheetView guid="{C82E0A7D-2B5B-48FC-A705-3168E651E04C}" scale="60" showPageBreaks="1" showGridLines="0" topLeftCell="A4">
      <pane xSplit="28.940298507462686" topLeftCell="AK1"/>
      <selection activeCell="L26" sqref="L26"/>
      <rowBreaks count="1" manualBreakCount="1">
        <brk id="73" max="36" man="1"/>
      </rowBreaks>
      <pageMargins left="0.25" right="0" top="0.3" bottom="0.25" header="0" footer="0.25"/>
      <pageSetup scale="40" firstPageNumber="20" fitToHeight="2" orientation="landscape" useFirstPageNumber="1" r:id="rId2"/>
      <headerFooter scaleWithDoc="0" alignWithMargins="0">
        <oddFooter>&amp;C&amp;8&amp;P</oddFooter>
      </headerFooter>
    </customSheetView>
    <customSheetView guid="{A8B05C3B-0E7E-44A3-A097-AF4C5C09F04E}" scale="60" showPageBreaks="1" showGridLines="0" printArea="1" topLeftCell="C1">
      <pane xSplit="27.625" topLeftCell="AK1"/>
      <selection activeCell="L26" sqref="L26"/>
      <rowBreaks count="1" manualBreakCount="1">
        <brk id="73" max="36" man="1"/>
      </rowBreaks>
      <pageMargins left="0.25" right="0" top="0.3" bottom="0.25" header="0" footer="0.25"/>
      <pageSetup scale="40" firstPageNumber="20" fitToHeight="2" orientation="landscape" useFirstPageNumber="1" r:id="rId3"/>
      <headerFooter scaleWithDoc="0" alignWithMargins="0">
        <oddFooter>&amp;C&amp;8&amp;P</oddFooter>
      </headerFooter>
    </customSheetView>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4"/>
      <headerFooter scaleWithDoc="0" alignWithMargins="0">
        <oddFooter>&amp;C&amp;8&amp;P</oddFooter>
      </headerFooter>
    </customSheetView>
    <customSheetView guid="{4735AAE3-27B4-4549-AAB4-50ACA997F5F5}" scale="60" showPageBreaks="1" showGridLines="0" topLeftCell="A85">
      <pane xSplit="34.845070422535208" topLeftCell="AK1"/>
      <selection activeCell="AC122" sqref="AC122"/>
      <rowBreaks count="1" manualBreakCount="1">
        <brk id="73" max="36" man="1"/>
      </rowBreaks>
      <pageMargins left="0.25" right="0" top="0.3" bottom="0.25" header="0" footer="0.25"/>
      <pageSetup scale="40" firstPageNumber="20" fitToHeight="2" orientation="landscape" useFirstPageNumber="1" r:id="rId5"/>
      <headerFooter scaleWithDoc="0" alignWithMargins="0">
        <oddFooter>&amp;C&amp;8&amp;P</oddFooter>
      </headerFooter>
    </customSheetView>
    <customSheetView guid="{80622567-647A-4891-B8EE-6B9E2C4DAC44}" scale="60" showPageBreaks="1" showGridLines="0" printArea="1">
      <selection activeCell="O38" sqref="O38"/>
      <rowBreaks count="1" manualBreakCount="1">
        <brk id="73" max="36" man="1"/>
      </rowBreaks>
      <pageMargins left="0.25" right="0" top="0.3" bottom="0.25" header="0" footer="0.25"/>
      <pageSetup scale="43" firstPageNumber="20" fitToHeight="2" orientation="landscape" useFirstPageNumber="1" r:id="rId6"/>
      <headerFooter scaleWithDoc="0" alignWithMargins="0">
        <oddFooter>&amp;C&amp;8&amp;P</oddFooter>
      </headerFooter>
    </customSheetView>
    <customSheetView guid="{A97EE6C3-4DA8-41BD-BE43-F596EFCB43CA}" scale="60" showPageBreaks="1" showGridLines="0" printArea="1">
      <selection activeCell="AK135" sqref="AK135"/>
      <rowBreaks count="1" manualBreakCount="1">
        <brk id="73" max="36" man="1"/>
      </rowBreaks>
      <pageMargins left="0.25" right="0" top="0.3" bottom="0.25" header="0" footer="0.25"/>
      <pageSetup scale="43" firstPageNumber="20" fitToHeight="2" orientation="landscape" useFirstPageNumber="1" r:id="rId7"/>
      <headerFooter scaleWithDoc="0" alignWithMargins="0">
        <oddFooter>&amp;C&amp;8&amp;P</oddFooter>
      </headerFooter>
    </customSheetView>
    <customSheetView guid="{90B76C5A-2FC4-40F0-8436-3E4F075A4887}" scale="70" showPageBreaks="1" showGridLines="0" printArea="1" topLeftCell="D13">
      <selection activeCell="AK135" sqref="AK135"/>
      <rowBreaks count="1" manualBreakCount="1">
        <brk id="73" max="36" man="1"/>
      </rowBreaks>
      <pageMargins left="0.25" right="0" top="0.3" bottom="0.25" header="0" footer="0.25"/>
      <pageSetup scale="41" firstPageNumber="20" fitToHeight="2" orientation="landscape" useFirstPageNumber="1" r:id="rId8"/>
      <headerFooter scaleWithDoc="0" alignWithMargins="0">
        <oddFooter>&amp;C&amp;8&amp;P</oddFooter>
      </headerFooter>
    </customSheetView>
  </customSheetViews>
  <mergeCells count="1">
    <mergeCell ref="AB10:AK10"/>
  </mergeCells>
  <pageMargins left="0.7" right="0.7" top="0.75" bottom="0.75" header="0.3" footer="0.3"/>
  <pageSetup scale="38" firstPageNumber="20" fitToHeight="2" orientation="landscape" useFirstPageNumber="1" r:id="rId9"/>
  <headerFooter scaleWithDoc="0" alignWithMargins="0">
    <oddFooter>&amp;C&amp;8&amp;P</oddFooter>
  </headerFooter>
  <rowBreaks count="1" manualBreakCount="1">
    <brk id="88" min="1" max="36" man="1"/>
  </rowBreaks>
  <ignoredErrors>
    <ignoredError sqref="AK19:AK21 AK28:AK45 AK125:AK126 AK23 AK116:AK122 AK47:AK69 AK71:AK77 AK79:AK114" unlockedFormula="1"/>
    <ignoredError sqref="V11" numberStoredAsText="1"/>
    <ignoredError sqref="AK24 AK123:AK124" formula="1" unlockedFormula="1"/>
    <ignoredError sqref="AJ24 AI22 AK22 AK70 AK78 AC24" formula="1"/>
  </ignoredErrors>
</worksheet>
</file>

<file path=xl/worksheets/sheet19.xml><?xml version="1.0" encoding="utf-8"?>
<worksheet xmlns="http://schemas.openxmlformats.org/spreadsheetml/2006/main" xmlns:r="http://schemas.openxmlformats.org/officeDocument/2006/relationships">
  <sheetPr codeName="Sheet17"/>
  <dimension ref="A1:AV173"/>
  <sheetViews>
    <sheetView showGridLines="0" zoomScale="60" zoomScaleNormal="70" zoomScaleSheetLayoutView="70" workbookViewId="0"/>
  </sheetViews>
  <sheetFormatPr defaultColWidth="8.88671875" defaultRowHeight="15"/>
  <cols>
    <col min="1" max="1" width="1.6640625" style="226" customWidth="1"/>
    <col min="2" max="2" width="45.44140625" style="226" customWidth="1"/>
    <col min="3" max="3" width="1.6640625" style="226" customWidth="1"/>
    <col min="4" max="4" width="12.44140625" style="226" bestFit="1" customWidth="1"/>
    <col min="5" max="5" width="1.6640625" style="226" customWidth="1"/>
    <col min="6" max="6" width="12.33203125" style="226" bestFit="1" customWidth="1"/>
    <col min="7" max="7" width="1.6640625" style="226" customWidth="1"/>
    <col min="8" max="8" width="12.21875" style="226" customWidth="1"/>
    <col min="9" max="9" width="1.6640625" style="226" customWidth="1"/>
    <col min="10" max="10" width="12" style="226" customWidth="1"/>
    <col min="11" max="11" width="1.6640625" style="226" customWidth="1"/>
    <col min="12" max="12" width="13.21875" style="226" customWidth="1"/>
    <col min="13" max="13" width="1.6640625" style="226" customWidth="1"/>
    <col min="14" max="14" width="14.44140625" style="226" customWidth="1"/>
    <col min="15" max="15" width="1.6640625" style="226" customWidth="1"/>
    <col min="16" max="16" width="12" style="226" bestFit="1" customWidth="1"/>
    <col min="17" max="17" width="1.6640625" style="226" customWidth="1"/>
    <col min="18" max="18" width="10.109375" style="226" customWidth="1"/>
    <col min="19" max="19" width="1.6640625" style="226" customWidth="1"/>
    <col min="20" max="20" width="9.6640625" style="226" customWidth="1"/>
    <col min="21" max="21" width="1.6640625" style="226" customWidth="1"/>
    <col min="22" max="22" width="9.6640625" style="226" customWidth="1"/>
    <col min="23" max="23" width="1.6640625" style="226" customWidth="1"/>
    <col min="24" max="24" width="11.6640625" style="226" customWidth="1"/>
    <col min="25" max="25" width="1.6640625" style="226" customWidth="1"/>
    <col min="26" max="26" width="11.6640625" style="226" customWidth="1"/>
    <col min="27" max="28" width="1.6640625" style="226" customWidth="1"/>
    <col min="29" max="29" width="12.5546875" style="226" bestFit="1" customWidth="1"/>
    <col min="30" max="30" width="1.44140625" style="226" customWidth="1"/>
    <col min="31" max="31" width="1.33203125" style="226" customWidth="1"/>
    <col min="32" max="32" width="12.5546875" style="226" bestFit="1" customWidth="1"/>
    <col min="33" max="34" width="0.88671875" style="226" customWidth="1"/>
    <col min="35" max="35" width="12.77734375" style="226" customWidth="1"/>
    <col min="36" max="36" width="0.6640625" style="226" customWidth="1"/>
    <col min="37" max="37" width="10.77734375" style="2150" customWidth="1"/>
    <col min="38" max="16384" width="8.88671875" style="226"/>
  </cols>
  <sheetData>
    <row r="1" spans="1:42">
      <c r="B1" s="1227" t="s">
        <v>1322</v>
      </c>
    </row>
    <row r="2" spans="1:42" ht="15.75">
      <c r="A2" s="503"/>
      <c r="M2" s="225"/>
      <c r="N2" s="225"/>
      <c r="O2" s="227"/>
    </row>
    <row r="3" spans="1:42" ht="15.75">
      <c r="A3" s="503"/>
      <c r="M3" s="225"/>
      <c r="N3" s="225"/>
      <c r="O3" s="227"/>
    </row>
    <row r="4" spans="1:42" ht="18">
      <c r="A4" s="503"/>
      <c r="B4" s="466" t="s">
        <v>0</v>
      </c>
      <c r="M4" s="225"/>
      <c r="N4" s="225"/>
      <c r="O4" s="227"/>
      <c r="AD4" s="509"/>
      <c r="AE4" s="509"/>
      <c r="AF4" s="509"/>
      <c r="AG4" s="509"/>
      <c r="AH4" s="509"/>
      <c r="AI4" s="509"/>
      <c r="AJ4" s="509"/>
      <c r="AK4" s="756" t="s">
        <v>177</v>
      </c>
    </row>
    <row r="5" spans="1:42" ht="18">
      <c r="A5" s="503"/>
      <c r="B5" s="466" t="s">
        <v>1627</v>
      </c>
      <c r="L5" s="225"/>
      <c r="M5" s="225"/>
      <c r="O5" s="227"/>
    </row>
    <row r="6" spans="1:42" ht="18">
      <c r="A6" s="503"/>
      <c r="B6" s="471" t="s">
        <v>155</v>
      </c>
      <c r="L6" s="227"/>
      <c r="M6" s="227"/>
      <c r="O6" s="227"/>
      <c r="X6" s="511"/>
    </row>
    <row r="7" spans="1:42" ht="20.25">
      <c r="A7" s="503"/>
      <c r="B7" s="471" t="s">
        <v>1175</v>
      </c>
      <c r="L7" s="227"/>
      <c r="M7" s="227"/>
      <c r="O7" s="227"/>
      <c r="AK7" s="513"/>
    </row>
    <row r="8" spans="1:42" ht="18">
      <c r="A8" s="503"/>
      <c r="B8" s="466" t="s">
        <v>1198</v>
      </c>
      <c r="AH8" s="227"/>
      <c r="AI8" s="227"/>
      <c r="AJ8" s="227"/>
      <c r="AK8" s="1407"/>
    </row>
    <row r="9" spans="1:42">
      <c r="A9" s="503"/>
      <c r="L9" s="227"/>
      <c r="M9" s="227"/>
      <c r="N9" s="227"/>
      <c r="O9" s="227"/>
      <c r="AB9" s="227"/>
      <c r="AC9" s="227"/>
      <c r="AD9" s="227"/>
      <c r="AE9" s="227"/>
      <c r="AF9" s="227"/>
      <c r="AG9" s="227"/>
      <c r="AH9" s="227"/>
      <c r="AI9" s="227"/>
      <c r="AJ9" s="227"/>
      <c r="AK9" s="1407"/>
    </row>
    <row r="10" spans="1:42" s="462" customFormat="1" ht="19.5" customHeight="1">
      <c r="A10" s="461"/>
      <c r="L10" s="506"/>
      <c r="M10" s="506"/>
      <c r="N10" s="506"/>
      <c r="O10" s="506"/>
      <c r="AB10" s="555"/>
      <c r="AC10" s="555"/>
      <c r="AD10" s="3089"/>
      <c r="AE10" s="3089"/>
      <c r="AF10" s="3090" t="s">
        <v>1630</v>
      </c>
      <c r="AG10" s="3089"/>
      <c r="AH10" s="541"/>
      <c r="AI10" s="541"/>
      <c r="AJ10" s="541"/>
      <c r="AK10" s="541"/>
    </row>
    <row r="11" spans="1:42" ht="15.75">
      <c r="A11" s="503"/>
      <c r="D11" s="1627">
        <v>2014</v>
      </c>
      <c r="E11" s="225"/>
      <c r="F11" s="225"/>
      <c r="G11" s="225"/>
      <c r="H11" s="225"/>
      <c r="I11" s="225"/>
      <c r="J11" s="225"/>
      <c r="K11" s="225"/>
      <c r="L11" s="225"/>
      <c r="M11" s="225"/>
      <c r="N11" s="225"/>
      <c r="O11" s="225"/>
      <c r="P11" s="225"/>
      <c r="Q11" s="225"/>
      <c r="R11" s="225"/>
      <c r="S11" s="225"/>
      <c r="T11" s="225"/>
      <c r="U11" s="225"/>
      <c r="V11" s="1627">
        <v>2015</v>
      </c>
      <c r="W11" s="225"/>
      <c r="X11" s="225"/>
      <c r="Y11" s="225"/>
      <c r="Z11" s="225"/>
      <c r="AA11" s="225"/>
      <c r="AB11" s="225"/>
      <c r="AC11" s="418"/>
      <c r="AD11" s="418"/>
      <c r="AE11" s="418"/>
      <c r="AF11" s="418"/>
      <c r="AG11" s="418"/>
      <c r="AH11" s="417"/>
      <c r="AI11" s="1631" t="s">
        <v>8</v>
      </c>
      <c r="AJ11" s="418"/>
      <c r="AK11" s="1632" t="s">
        <v>9</v>
      </c>
      <c r="AL11" s="417"/>
      <c r="AM11" s="417"/>
      <c r="AN11" s="417"/>
      <c r="AO11" s="417"/>
      <c r="AP11" s="417"/>
    </row>
    <row r="12" spans="1:42" ht="15.75">
      <c r="A12" s="503"/>
      <c r="D12" s="1613" t="s">
        <v>131</v>
      </c>
      <c r="E12" s="225"/>
      <c r="F12" s="1613" t="s">
        <v>132</v>
      </c>
      <c r="G12" s="225"/>
      <c r="H12" s="1613" t="s">
        <v>133</v>
      </c>
      <c r="I12" s="225"/>
      <c r="J12" s="1613" t="s">
        <v>134</v>
      </c>
      <c r="K12" s="225"/>
      <c r="L12" s="1613" t="s">
        <v>135</v>
      </c>
      <c r="M12" s="225"/>
      <c r="N12" s="1613" t="s">
        <v>136</v>
      </c>
      <c r="O12" s="225"/>
      <c r="P12" s="1613" t="s">
        <v>137</v>
      </c>
      <c r="Q12" s="225"/>
      <c r="R12" s="1613" t="s">
        <v>138</v>
      </c>
      <c r="S12" s="225"/>
      <c r="T12" s="1613" t="s">
        <v>139</v>
      </c>
      <c r="U12" s="225"/>
      <c r="V12" s="1613" t="s">
        <v>156</v>
      </c>
      <c r="W12" s="225"/>
      <c r="X12" s="1613" t="s">
        <v>141</v>
      </c>
      <c r="Y12" s="225"/>
      <c r="Z12" s="1613" t="s">
        <v>142</v>
      </c>
      <c r="AA12" s="225"/>
      <c r="AB12" s="225"/>
      <c r="AC12" s="1627">
        <v>2014</v>
      </c>
      <c r="AD12" s="225" t="s">
        <v>16</v>
      </c>
      <c r="AE12" s="417"/>
      <c r="AF12" s="1627">
        <v>2013</v>
      </c>
      <c r="AG12" s="1612"/>
      <c r="AH12" s="417"/>
      <c r="AI12" s="1637" t="s">
        <v>13</v>
      </c>
      <c r="AJ12" s="417"/>
      <c r="AK12" s="1637" t="s">
        <v>14</v>
      </c>
      <c r="AL12" s="417"/>
      <c r="AM12" s="417"/>
      <c r="AN12" s="417"/>
      <c r="AO12" s="417"/>
      <c r="AP12" s="417"/>
    </row>
    <row r="13" spans="1:42" ht="5.25" customHeight="1">
      <c r="A13" s="503"/>
      <c r="D13" s="239"/>
      <c r="F13" s="239"/>
      <c r="H13" s="239"/>
      <c r="J13" s="239"/>
      <c r="L13" s="239"/>
      <c r="N13" s="514"/>
      <c r="P13" s="239"/>
      <c r="R13" s="239"/>
      <c r="T13" s="239"/>
      <c r="V13" s="239"/>
      <c r="X13" s="239"/>
      <c r="Z13" s="239"/>
      <c r="AC13" s="239"/>
      <c r="AF13" s="239"/>
      <c r="AG13" s="233"/>
      <c r="AH13" s="515"/>
    </row>
    <row r="14" spans="1:42" ht="15" customHeight="1">
      <c r="A14" s="227"/>
      <c r="B14" s="380" t="s">
        <v>143</v>
      </c>
      <c r="C14" s="227"/>
      <c r="D14" s="341">
        <v>2362.9</v>
      </c>
      <c r="E14" s="299"/>
      <c r="F14" s="299">
        <f>+D121</f>
        <v>2172.6</v>
      </c>
      <c r="G14" s="299"/>
      <c r="H14" s="299">
        <f>+F121</f>
        <v>2707.5</v>
      </c>
      <c r="I14" s="299"/>
      <c r="J14" s="299">
        <f>+H121</f>
        <v>3185.9</v>
      </c>
      <c r="K14" s="299"/>
      <c r="L14" s="299">
        <f>+J121</f>
        <v>2928.7</v>
      </c>
      <c r="M14" s="299"/>
      <c r="N14" s="299">
        <f>+L121</f>
        <v>2689.1</v>
      </c>
      <c r="O14" s="299"/>
      <c r="P14" s="299">
        <f>+N121</f>
        <v>2149</v>
      </c>
      <c r="Q14" s="299"/>
      <c r="R14" s="299"/>
      <c r="S14" s="299"/>
      <c r="T14" s="299"/>
      <c r="U14" s="299"/>
      <c r="V14" s="299"/>
      <c r="W14" s="299"/>
      <c r="X14" s="299"/>
      <c r="Y14" s="299"/>
      <c r="Z14" s="299"/>
      <c r="AA14" s="299"/>
      <c r="AB14" s="300"/>
      <c r="AC14" s="299">
        <f>+D14</f>
        <v>2362.9</v>
      </c>
      <c r="AD14" s="299"/>
      <c r="AE14" s="300"/>
      <c r="AF14" s="299">
        <v>2373.3000000000002</v>
      </c>
      <c r="AG14" s="516"/>
      <c r="AH14" s="429"/>
      <c r="AI14" s="388">
        <f>AC14-AF14</f>
        <v>-10.400000000000091</v>
      </c>
      <c r="AJ14" s="517"/>
      <c r="AK14" s="518">
        <f>(AC14-AF14)/AF14</f>
        <v>-4.3820840180339993E-3</v>
      </c>
      <c r="AL14" s="511"/>
      <c r="AM14" s="511"/>
      <c r="AN14" s="511"/>
      <c r="AO14" s="511"/>
      <c r="AP14" s="511"/>
    </row>
    <row r="15" spans="1:42" ht="15" customHeight="1">
      <c r="A15" s="227"/>
      <c r="B15" s="227"/>
      <c r="C15" s="227"/>
      <c r="AB15" s="420"/>
      <c r="AE15" s="420"/>
      <c r="AG15" s="519"/>
      <c r="AH15" s="233"/>
      <c r="AK15" s="2201"/>
    </row>
    <row r="16" spans="1:42" ht="15" customHeight="1">
      <c r="A16" s="227"/>
      <c r="B16" s="225" t="s">
        <v>15</v>
      </c>
      <c r="C16" s="227"/>
      <c r="D16" s="265"/>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54"/>
      <c r="AC16" s="265"/>
      <c r="AD16" s="265"/>
      <c r="AE16" s="254"/>
      <c r="AF16" s="265"/>
      <c r="AG16" s="520"/>
      <c r="AH16" s="253"/>
      <c r="AI16" s="265"/>
      <c r="AK16" s="2201"/>
    </row>
    <row r="17" spans="1:37" ht="15" customHeight="1">
      <c r="A17" s="227"/>
      <c r="B17" s="495" t="s">
        <v>1495</v>
      </c>
      <c r="C17" s="227"/>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54"/>
      <c r="AC17" s="265"/>
      <c r="AD17" s="265"/>
      <c r="AE17" s="254"/>
      <c r="AF17" s="265"/>
      <c r="AG17" s="520"/>
      <c r="AH17" s="253"/>
      <c r="AI17" s="265"/>
      <c r="AK17" s="2201"/>
    </row>
    <row r="18" spans="1:37" s="417" customFormat="1" ht="15" customHeight="1">
      <c r="A18" s="225"/>
      <c r="B18" s="2661" t="s">
        <v>1500</v>
      </c>
      <c r="C18" s="225"/>
      <c r="D18" s="3093">
        <f>'Exhibit G state'!D16</f>
        <v>0</v>
      </c>
      <c r="E18" s="3093"/>
      <c r="F18" s="3093">
        <f>'Exhibit G state'!F16</f>
        <v>0</v>
      </c>
      <c r="G18" s="3093"/>
      <c r="H18" s="3093">
        <f>'Exhibit G state'!H16</f>
        <v>424.2</v>
      </c>
      <c r="I18" s="3093"/>
      <c r="J18" s="3093">
        <f>'Exhibit G state'!J16</f>
        <v>0</v>
      </c>
      <c r="K18" s="3093"/>
      <c r="L18" s="3093">
        <f>'Exhibit G state'!L16</f>
        <v>0</v>
      </c>
      <c r="M18" s="3093"/>
      <c r="N18" s="3093">
        <f>'Exhibit G state'!N16</f>
        <v>203.3</v>
      </c>
      <c r="O18" s="299"/>
      <c r="P18" s="3093">
        <f>'Exhibit G state'!P16</f>
        <v>4.5</v>
      </c>
      <c r="Q18" s="299"/>
      <c r="R18" s="299"/>
      <c r="S18" s="299"/>
      <c r="T18" s="299"/>
      <c r="U18" s="299"/>
      <c r="V18" s="299"/>
      <c r="W18" s="299"/>
      <c r="X18" s="299"/>
      <c r="Y18" s="299"/>
      <c r="Z18" s="299"/>
      <c r="AA18" s="299"/>
      <c r="AB18" s="300"/>
      <c r="AC18" s="1214">
        <f>ROUND(SUM(D18:Z18),1)</f>
        <v>632</v>
      </c>
      <c r="AD18" s="1214"/>
      <c r="AE18" s="3121"/>
      <c r="AF18" s="1372">
        <f>'Exhibit G state'!AH16</f>
        <v>618.5</v>
      </c>
      <c r="AG18" s="3095"/>
      <c r="AH18" s="2176"/>
      <c r="AI18" s="1214">
        <f>ROUND(SUM(+AC18-AF18),1)</f>
        <v>13.5</v>
      </c>
      <c r="AJ18" s="252"/>
      <c r="AK18" s="2040">
        <f>ROUND(IF(AF18=0,0,AI18/(AF18)),3)</f>
        <v>2.1999999999999999E-2</v>
      </c>
    </row>
    <row r="19" spans="1:37" s="417" customFormat="1" ht="6" customHeight="1">
      <c r="A19" s="225"/>
      <c r="B19" s="2661"/>
      <c r="C19" s="225"/>
      <c r="D19" s="3093"/>
      <c r="E19" s="3093"/>
      <c r="F19" s="3093"/>
      <c r="G19" s="3093"/>
      <c r="H19" s="3093"/>
      <c r="I19" s="3093"/>
      <c r="J19" s="3093"/>
      <c r="K19" s="3093"/>
      <c r="L19" s="3093"/>
      <c r="M19" s="3093"/>
      <c r="N19" s="3093"/>
      <c r="O19" s="299"/>
      <c r="P19" s="299"/>
      <c r="Q19" s="299"/>
      <c r="R19" s="299"/>
      <c r="S19" s="299"/>
      <c r="T19" s="299"/>
      <c r="U19" s="299"/>
      <c r="V19" s="299"/>
      <c r="W19" s="299"/>
      <c r="X19" s="299"/>
      <c r="Y19" s="299"/>
      <c r="Z19" s="299"/>
      <c r="AA19" s="299"/>
      <c r="AB19" s="300"/>
      <c r="AC19" s="1295"/>
      <c r="AD19" s="1295"/>
      <c r="AE19" s="2680"/>
      <c r="AF19" s="1297"/>
      <c r="AG19" s="2681"/>
      <c r="AH19" s="2244"/>
      <c r="AI19" s="1295"/>
      <c r="AJ19" s="252"/>
      <c r="AK19" s="2040"/>
    </row>
    <row r="20" spans="1:37" ht="15" customHeight="1">
      <c r="A20" s="227"/>
      <c r="B20" s="2661" t="s">
        <v>1569</v>
      </c>
      <c r="C20" s="227"/>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54"/>
      <c r="AC20" s="2154"/>
      <c r="AD20" s="2154"/>
      <c r="AE20" s="263"/>
      <c r="AF20" s="2154"/>
      <c r="AG20" s="527"/>
      <c r="AH20" s="277"/>
      <c r="AI20" s="2154"/>
      <c r="AJ20" s="417"/>
      <c r="AK20" s="518"/>
    </row>
    <row r="21" spans="1:37" ht="15" customHeight="1">
      <c r="A21" s="227"/>
      <c r="B21" s="2389" t="s">
        <v>1515</v>
      </c>
      <c r="C21" s="227"/>
      <c r="D21" s="1214">
        <f>'Exhibit G state'!D20</f>
        <v>101.2</v>
      </c>
      <c r="E21" s="265"/>
      <c r="F21" s="265">
        <f>'Exhibit G state'!F20</f>
        <v>64.099999999999994</v>
      </c>
      <c r="G21" s="265"/>
      <c r="H21" s="265">
        <f>'Exhibit G state'!H20</f>
        <v>81.599999999999994</v>
      </c>
      <c r="I21" s="265"/>
      <c r="J21" s="265">
        <f>'Exhibit G state'!J20</f>
        <v>64</v>
      </c>
      <c r="K21" s="265"/>
      <c r="L21" s="265">
        <f>'Exhibit G state'!L20</f>
        <v>63.3</v>
      </c>
      <c r="M21" s="265"/>
      <c r="N21" s="265">
        <f>'Exhibit G state'!N20</f>
        <v>83.6</v>
      </c>
      <c r="O21" s="265"/>
      <c r="P21" s="265">
        <f>'Exhibit G state'!P20</f>
        <v>65.2</v>
      </c>
      <c r="Q21" s="265"/>
      <c r="R21" s="265"/>
      <c r="S21" s="265"/>
      <c r="T21" s="265"/>
      <c r="U21" s="265"/>
      <c r="V21" s="265"/>
      <c r="W21" s="265"/>
      <c r="X21" s="265"/>
      <c r="Y21" s="265"/>
      <c r="Z21" s="265"/>
      <c r="AA21" s="265"/>
      <c r="AB21" s="254"/>
      <c r="AC21" s="265">
        <f t="shared" ref="AC21:AC27" si="0">ROUND(SUM(D21:Z21),1)</f>
        <v>523</v>
      </c>
      <c r="AD21" s="265"/>
      <c r="AE21" s="254"/>
      <c r="AF21" s="1372">
        <f>'Exhibit G state'!AH20</f>
        <v>495.5</v>
      </c>
      <c r="AG21" s="520"/>
      <c r="AH21" s="253"/>
      <c r="AI21" s="1214">
        <f t="shared" ref="AI21:AI27" si="1">ROUND(SUM(+AC21-AF21),1)</f>
        <v>27.5</v>
      </c>
      <c r="AJ21" s="252"/>
      <c r="AK21" s="2040">
        <f t="shared" ref="AK21:AK27" si="2">ROUND(IF(AF21=0,0,AI21/(AF21)),3)</f>
        <v>5.5E-2</v>
      </c>
    </row>
    <row r="22" spans="1:37" ht="15" customHeight="1">
      <c r="A22" s="227"/>
      <c r="B22" s="2389" t="s">
        <v>1516</v>
      </c>
      <c r="C22" s="227"/>
      <c r="D22" s="1214">
        <f>'Exhibit G state'!D21</f>
        <v>1.7</v>
      </c>
      <c r="E22" s="265"/>
      <c r="F22" s="265">
        <f>'Exhibit G state'!F21</f>
        <v>0</v>
      </c>
      <c r="G22" s="265"/>
      <c r="H22" s="265">
        <f>'Exhibit G state'!H21</f>
        <v>9.9</v>
      </c>
      <c r="I22" s="265"/>
      <c r="J22" s="265">
        <f>'Exhibit G state'!J21</f>
        <v>0.6</v>
      </c>
      <c r="K22" s="265"/>
      <c r="L22" s="265">
        <f>'Exhibit G state'!L21</f>
        <v>0</v>
      </c>
      <c r="M22" s="265"/>
      <c r="N22" s="265">
        <f>'Exhibit G state'!N21</f>
        <v>14.2</v>
      </c>
      <c r="O22" s="265"/>
      <c r="P22" s="265">
        <f>'Exhibit G state'!P21</f>
        <v>0</v>
      </c>
      <c r="Q22" s="265"/>
      <c r="R22" s="265"/>
      <c r="S22" s="265"/>
      <c r="T22" s="265"/>
      <c r="U22" s="265"/>
      <c r="V22" s="265"/>
      <c r="W22" s="265"/>
      <c r="X22" s="265"/>
      <c r="Y22" s="265"/>
      <c r="Z22" s="265"/>
      <c r="AA22" s="265"/>
      <c r="AB22" s="254"/>
      <c r="AC22" s="265">
        <f t="shared" si="0"/>
        <v>26.4</v>
      </c>
      <c r="AD22" s="265"/>
      <c r="AE22" s="254"/>
      <c r="AF22" s="1372">
        <f>'Exhibit G state'!AH21</f>
        <v>24.7</v>
      </c>
      <c r="AG22" s="520"/>
      <c r="AH22" s="253"/>
      <c r="AI22" s="1214">
        <f t="shared" si="1"/>
        <v>1.7</v>
      </c>
      <c r="AJ22" s="252"/>
      <c r="AK22" s="2040">
        <f t="shared" si="2"/>
        <v>6.9000000000000006E-2</v>
      </c>
    </row>
    <row r="23" spans="1:37" ht="15" customHeight="1">
      <c r="A23" s="227"/>
      <c r="B23" s="2389" t="s">
        <v>1517</v>
      </c>
      <c r="C23" s="227"/>
      <c r="D23" s="1214">
        <f>'Exhibit G state'!D22</f>
        <v>86.2</v>
      </c>
      <c r="E23" s="265"/>
      <c r="F23" s="265">
        <f>'Exhibit G state'!F22</f>
        <v>79.599999999999994</v>
      </c>
      <c r="G23" s="265"/>
      <c r="H23" s="265">
        <f>'Exhibit G state'!H22</f>
        <v>80.900000000000006</v>
      </c>
      <c r="I23" s="265"/>
      <c r="J23" s="265">
        <f>'Exhibit G state'!J22</f>
        <v>93.9</v>
      </c>
      <c r="K23" s="265"/>
      <c r="L23" s="265">
        <f>'Exhibit G state'!L22</f>
        <v>85.3</v>
      </c>
      <c r="M23" s="265"/>
      <c r="N23" s="265">
        <f>'Exhibit G state'!N22</f>
        <v>87.1</v>
      </c>
      <c r="O23" s="265"/>
      <c r="P23" s="265">
        <f>'Exhibit G state'!P22</f>
        <v>85.8</v>
      </c>
      <c r="Q23" s="265"/>
      <c r="R23" s="265"/>
      <c r="S23" s="265"/>
      <c r="T23" s="265"/>
      <c r="U23" s="265"/>
      <c r="V23" s="265"/>
      <c r="W23" s="265"/>
      <c r="X23" s="265"/>
      <c r="Y23" s="265"/>
      <c r="Z23" s="265"/>
      <c r="AA23" s="265"/>
      <c r="AB23" s="254"/>
      <c r="AC23" s="265">
        <f t="shared" si="0"/>
        <v>598.79999999999995</v>
      </c>
      <c r="AD23" s="265"/>
      <c r="AE23" s="254"/>
      <c r="AF23" s="1372">
        <f>'Exhibit G state'!AH22</f>
        <v>640</v>
      </c>
      <c r="AG23" s="520"/>
      <c r="AH23" s="253"/>
      <c r="AI23" s="1214">
        <f t="shared" si="1"/>
        <v>-41.2</v>
      </c>
      <c r="AJ23" s="252"/>
      <c r="AK23" s="2040">
        <f t="shared" si="2"/>
        <v>-6.4000000000000001E-2</v>
      </c>
    </row>
    <row r="24" spans="1:37" ht="15" customHeight="1">
      <c r="A24" s="227"/>
      <c r="B24" s="2389" t="s">
        <v>1518</v>
      </c>
      <c r="C24" s="227"/>
      <c r="D24" s="1214">
        <f>'Exhibit G state'!D23</f>
        <v>8.4</v>
      </c>
      <c r="E24" s="265"/>
      <c r="F24" s="265">
        <f>'Exhibit G state'!F23</f>
        <v>10.1</v>
      </c>
      <c r="G24" s="265"/>
      <c r="H24" s="265">
        <f>'Exhibit G state'!H23</f>
        <v>7.7</v>
      </c>
      <c r="I24" s="265"/>
      <c r="J24" s="265">
        <f>'Exhibit G state'!J23</f>
        <v>8.5</v>
      </c>
      <c r="K24" s="265"/>
      <c r="L24" s="265">
        <f>'Exhibit G state'!L23</f>
        <v>9.9</v>
      </c>
      <c r="M24" s="265"/>
      <c r="N24" s="265">
        <f>'Exhibit G state'!N23</f>
        <v>8.9</v>
      </c>
      <c r="O24" s="265"/>
      <c r="P24" s="265">
        <f>'Exhibit G state'!P23</f>
        <v>9.1999999999999993</v>
      </c>
      <c r="Q24" s="265"/>
      <c r="R24" s="265"/>
      <c r="S24" s="265"/>
      <c r="T24" s="265"/>
      <c r="U24" s="265"/>
      <c r="V24" s="265"/>
      <c r="W24" s="265"/>
      <c r="X24" s="265"/>
      <c r="Y24" s="265"/>
      <c r="Z24" s="265"/>
      <c r="AA24" s="265"/>
      <c r="AB24" s="254"/>
      <c r="AC24" s="265">
        <f t="shared" si="0"/>
        <v>62.7</v>
      </c>
      <c r="AD24" s="265"/>
      <c r="AE24" s="254"/>
      <c r="AF24" s="1372">
        <f>'Exhibit G state'!AH23</f>
        <v>60</v>
      </c>
      <c r="AG24" s="520"/>
      <c r="AH24" s="253"/>
      <c r="AI24" s="1214">
        <f t="shared" si="1"/>
        <v>2.7</v>
      </c>
      <c r="AJ24" s="252"/>
      <c r="AK24" s="2040">
        <f t="shared" si="2"/>
        <v>4.4999999999999998E-2</v>
      </c>
    </row>
    <row r="25" spans="1:37" ht="15" customHeight="1">
      <c r="A25" s="227"/>
      <c r="B25" s="2389" t="s">
        <v>1519</v>
      </c>
      <c r="C25" s="227"/>
      <c r="D25" s="1214">
        <f>'Exhibit G state'!D24</f>
        <v>0</v>
      </c>
      <c r="E25" s="265"/>
      <c r="F25" s="265">
        <f>'Exhibit G state'!F24</f>
        <v>0</v>
      </c>
      <c r="G25" s="265"/>
      <c r="H25" s="265">
        <f>'Exhibit G state'!H24</f>
        <v>0</v>
      </c>
      <c r="I25" s="265"/>
      <c r="J25" s="265">
        <f>'Exhibit G state'!J24</f>
        <v>0</v>
      </c>
      <c r="K25" s="265"/>
      <c r="L25" s="265">
        <f>'Exhibit G state'!L24</f>
        <v>0</v>
      </c>
      <c r="M25" s="265"/>
      <c r="N25" s="265">
        <f>'Exhibit G state'!N24</f>
        <v>0</v>
      </c>
      <c r="O25" s="265"/>
      <c r="P25" s="265">
        <f>'Exhibit G state'!P24</f>
        <v>0</v>
      </c>
      <c r="Q25" s="265"/>
      <c r="R25" s="265"/>
      <c r="S25" s="265"/>
      <c r="T25" s="265"/>
      <c r="U25" s="265"/>
      <c r="V25" s="265"/>
      <c r="W25" s="265"/>
      <c r="X25" s="265"/>
      <c r="Y25" s="265"/>
      <c r="Z25" s="265"/>
      <c r="AA25" s="265"/>
      <c r="AB25" s="254"/>
      <c r="AC25" s="265">
        <f t="shared" si="0"/>
        <v>0</v>
      </c>
      <c r="AD25" s="265"/>
      <c r="AE25" s="254"/>
      <c r="AF25" s="2402">
        <f>'Exhibit G state'!AH24</f>
        <v>0</v>
      </c>
      <c r="AG25" s="520"/>
      <c r="AH25" s="253"/>
      <c r="AI25" s="1214">
        <f t="shared" si="1"/>
        <v>0</v>
      </c>
      <c r="AJ25" s="252"/>
      <c r="AK25" s="2040">
        <f t="shared" si="2"/>
        <v>0</v>
      </c>
    </row>
    <row r="26" spans="1:37" ht="15" customHeight="1">
      <c r="A26" s="227"/>
      <c r="B26" s="2389" t="s">
        <v>1520</v>
      </c>
      <c r="C26" s="227"/>
      <c r="D26" s="1214">
        <f>'Exhibit G state'!D25</f>
        <v>0</v>
      </c>
      <c r="E26" s="265"/>
      <c r="F26" s="265">
        <f>'Exhibit G state'!F25</f>
        <v>0</v>
      </c>
      <c r="G26" s="265"/>
      <c r="H26" s="265">
        <f>'Exhibit G state'!H25</f>
        <v>0</v>
      </c>
      <c r="I26" s="265"/>
      <c r="J26" s="265">
        <f>'Exhibit G state'!J25</f>
        <v>0</v>
      </c>
      <c r="K26" s="265"/>
      <c r="L26" s="265">
        <f>'Exhibit G state'!L25</f>
        <v>0</v>
      </c>
      <c r="M26" s="265"/>
      <c r="N26" s="265">
        <f>'Exhibit G state'!N25</f>
        <v>0</v>
      </c>
      <c r="O26" s="265"/>
      <c r="P26" s="265">
        <f>'Exhibit G state'!P25</f>
        <v>0</v>
      </c>
      <c r="Q26" s="265"/>
      <c r="R26" s="265"/>
      <c r="S26" s="265"/>
      <c r="T26" s="265"/>
      <c r="U26" s="265"/>
      <c r="V26" s="265"/>
      <c r="W26" s="265"/>
      <c r="X26" s="265"/>
      <c r="Y26" s="265"/>
      <c r="Z26" s="265"/>
      <c r="AA26" s="265"/>
      <c r="AB26" s="254"/>
      <c r="AC26" s="265">
        <f t="shared" si="0"/>
        <v>0</v>
      </c>
      <c r="AD26" s="265"/>
      <c r="AE26" s="254"/>
      <c r="AF26" s="2402">
        <f>'Exhibit G state'!AH25</f>
        <v>0</v>
      </c>
      <c r="AG26" s="520"/>
      <c r="AH26" s="253"/>
      <c r="AI26" s="1214">
        <f t="shared" si="1"/>
        <v>0</v>
      </c>
      <c r="AJ26" s="252"/>
      <c r="AK26" s="2040">
        <f t="shared" si="2"/>
        <v>0</v>
      </c>
    </row>
    <row r="27" spans="1:37" ht="15" customHeight="1">
      <c r="A27" s="227"/>
      <c r="B27" s="2391" t="s">
        <v>1521</v>
      </c>
      <c r="C27" s="227"/>
      <c r="D27" s="1214">
        <f>'Exhibit G state'!D26</f>
        <v>20.9</v>
      </c>
      <c r="E27" s="265"/>
      <c r="F27" s="265">
        <f>'Exhibit G state'!F26</f>
        <v>0.3</v>
      </c>
      <c r="G27" s="265"/>
      <c r="H27" s="265">
        <f>'Exhibit G state'!H26</f>
        <v>0.4</v>
      </c>
      <c r="I27" s="265"/>
      <c r="J27" s="265">
        <f>'Exhibit G state'!J26</f>
        <v>20.399999999999999</v>
      </c>
      <c r="K27" s="265"/>
      <c r="L27" s="265">
        <f>'Exhibit G state'!L26</f>
        <v>0.7</v>
      </c>
      <c r="M27" s="265"/>
      <c r="N27" s="265">
        <f>'Exhibit G state'!N26</f>
        <v>0.5</v>
      </c>
      <c r="O27" s="265"/>
      <c r="P27" s="265">
        <f>'Exhibit G state'!P26</f>
        <v>18.8</v>
      </c>
      <c r="Q27" s="265"/>
      <c r="R27" s="265"/>
      <c r="S27" s="265"/>
      <c r="T27" s="265"/>
      <c r="U27" s="265"/>
      <c r="V27" s="265"/>
      <c r="W27" s="265"/>
      <c r="X27" s="265"/>
      <c r="Y27" s="265"/>
      <c r="Z27" s="265"/>
      <c r="AA27" s="265"/>
      <c r="AB27" s="254"/>
      <c r="AC27" s="265">
        <f t="shared" si="0"/>
        <v>62</v>
      </c>
      <c r="AD27" s="265"/>
      <c r="AE27" s="254"/>
      <c r="AF27" s="2402">
        <f>'Exhibit G state'!AH26</f>
        <v>62.1</v>
      </c>
      <c r="AG27" s="520"/>
      <c r="AH27" s="253"/>
      <c r="AI27" s="1214">
        <f t="shared" si="1"/>
        <v>-0.1</v>
      </c>
      <c r="AJ27" s="252"/>
      <c r="AK27" s="2040">
        <f t="shared" si="2"/>
        <v>-2E-3</v>
      </c>
    </row>
    <row r="28" spans="1:37" s="417" customFormat="1" ht="15" customHeight="1">
      <c r="A28" s="225"/>
      <c r="B28" s="2390" t="s">
        <v>1514</v>
      </c>
      <c r="C28" s="225"/>
      <c r="D28" s="260">
        <f>ROUND(SUM(D21:D27),1)</f>
        <v>218.4</v>
      </c>
      <c r="E28" s="2154"/>
      <c r="F28" s="260">
        <f>ROUND(SUM(F21:F27),1)</f>
        <v>154.1</v>
      </c>
      <c r="G28" s="2154"/>
      <c r="H28" s="260">
        <f>ROUND(SUM(H21:H27),1)</f>
        <v>180.5</v>
      </c>
      <c r="I28" s="2154"/>
      <c r="J28" s="260">
        <f>ROUND(SUM(J21:J27),1)</f>
        <v>187.4</v>
      </c>
      <c r="K28" s="2154"/>
      <c r="L28" s="260">
        <f>ROUND(SUM(L21:L27),1)</f>
        <v>159.19999999999999</v>
      </c>
      <c r="M28" s="2154"/>
      <c r="N28" s="260">
        <f>ROUND(SUM(N21:N27),1)</f>
        <v>194.3</v>
      </c>
      <c r="O28" s="2154"/>
      <c r="P28" s="260">
        <f>ROUND(SUM(P21:P27),1)</f>
        <v>179</v>
      </c>
      <c r="Q28" s="2154"/>
      <c r="R28" s="260">
        <f>ROUND(SUM(R21:R27),1)</f>
        <v>0</v>
      </c>
      <c r="S28" s="2154"/>
      <c r="T28" s="260">
        <f>ROUND(SUM(T21:T27),1)</f>
        <v>0</v>
      </c>
      <c r="U28" s="2154"/>
      <c r="V28" s="260">
        <f>ROUND(SUM(V21:V27),1)</f>
        <v>0</v>
      </c>
      <c r="W28" s="2154"/>
      <c r="X28" s="260">
        <f>ROUND(SUM(X21:X27),1)</f>
        <v>0</v>
      </c>
      <c r="Y28" s="2154"/>
      <c r="Z28" s="260">
        <f>ROUND(SUM(Z21:Z27),1)</f>
        <v>0</v>
      </c>
      <c r="AA28" s="2154"/>
      <c r="AB28" s="263"/>
      <c r="AC28" s="260">
        <f>ROUND(SUM(AC21:AC27),1)</f>
        <v>1272.9000000000001</v>
      </c>
      <c r="AD28" s="2154"/>
      <c r="AE28" s="263"/>
      <c r="AF28" s="260">
        <f>ROUND(SUM(AF21:AF27),1)</f>
        <v>1282.3</v>
      </c>
      <c r="AG28" s="527"/>
      <c r="AH28" s="277"/>
      <c r="AI28" s="260">
        <f>ROUND(SUM(AI21:AI27),1)</f>
        <v>-9.4</v>
      </c>
      <c r="AK28" s="3147">
        <f>ROUND(SUM(+AI28/AF28),3)</f>
        <v>-7.0000000000000001E-3</v>
      </c>
    </row>
    <row r="29" spans="1:37" ht="15" customHeight="1">
      <c r="A29" s="227"/>
      <c r="B29" s="2661" t="s">
        <v>1570</v>
      </c>
      <c r="C29" s="227"/>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54"/>
      <c r="AC29" s="265"/>
      <c r="AD29" s="265"/>
      <c r="AE29" s="254"/>
      <c r="AF29" s="265"/>
      <c r="AG29" s="520"/>
      <c r="AH29" s="253"/>
      <c r="AI29" s="1214"/>
      <c r="AK29" s="2201"/>
    </row>
    <row r="30" spans="1:37" ht="15" customHeight="1">
      <c r="A30" s="227"/>
      <c r="B30" s="2389" t="s">
        <v>1523</v>
      </c>
      <c r="C30" s="227"/>
      <c r="D30" s="265">
        <f>'Exhibit G state'!D29</f>
        <v>20.7</v>
      </c>
      <c r="E30" s="265"/>
      <c r="F30" s="265">
        <f>'Exhibit G state'!F29</f>
        <v>18.899999999999999</v>
      </c>
      <c r="G30" s="265"/>
      <c r="H30" s="265">
        <f>'Exhibit G state'!H29</f>
        <v>64.900000000000006</v>
      </c>
      <c r="I30" s="265"/>
      <c r="J30" s="265">
        <f>'Exhibit G state'!J29</f>
        <v>12.5</v>
      </c>
      <c r="K30" s="265"/>
      <c r="L30" s="265">
        <f>'Exhibit G state'!L29</f>
        <v>27.8</v>
      </c>
      <c r="M30" s="265"/>
      <c r="N30" s="265">
        <f>'Exhibit G state'!N29</f>
        <v>65.400000000000006</v>
      </c>
      <c r="O30" s="265"/>
      <c r="P30" s="265">
        <f>'Exhibit G state'!P29</f>
        <v>12.7</v>
      </c>
      <c r="Q30" s="265"/>
      <c r="R30" s="265"/>
      <c r="S30" s="265"/>
      <c r="T30" s="265"/>
      <c r="U30" s="265"/>
      <c r="V30" s="265"/>
      <c r="W30" s="265"/>
      <c r="X30" s="265"/>
      <c r="Y30" s="265"/>
      <c r="Z30" s="265"/>
      <c r="AA30" s="265"/>
      <c r="AB30" s="254"/>
      <c r="AC30" s="265">
        <f>ROUND(SUM(D30:Z30),1)</f>
        <v>222.9</v>
      </c>
      <c r="AD30" s="265"/>
      <c r="AE30" s="254"/>
      <c r="AF30" s="2402">
        <f>'Exhibit G state'!AH29</f>
        <v>219.8</v>
      </c>
      <c r="AG30" s="520"/>
      <c r="AH30" s="253"/>
      <c r="AI30" s="1214">
        <f>ROUND(SUM(+AC30-AF30),1)</f>
        <v>3.1</v>
      </c>
      <c r="AJ30" s="252"/>
      <c r="AK30" s="2040">
        <f>ROUND(IF(AF30=0,0,AI30/(AF30)),3)</f>
        <v>1.4E-2</v>
      </c>
    </row>
    <row r="31" spans="1:37" ht="15" customHeight="1">
      <c r="A31" s="227"/>
      <c r="B31" s="2389" t="s">
        <v>1524</v>
      </c>
      <c r="C31" s="227"/>
      <c r="D31" s="265">
        <f>'Exhibit G state'!D30</f>
        <v>0.3</v>
      </c>
      <c r="E31" s="265"/>
      <c r="F31" s="265">
        <f>'Exhibit G state'!F30</f>
        <v>1.3</v>
      </c>
      <c r="G31" s="265"/>
      <c r="H31" s="265">
        <f>'Exhibit G state'!H30</f>
        <v>30.6</v>
      </c>
      <c r="I31" s="265"/>
      <c r="J31" s="265">
        <f>'Exhibit G state'!J30</f>
        <v>0.2</v>
      </c>
      <c r="K31" s="265"/>
      <c r="L31" s="265">
        <f>'Exhibit G state'!L30</f>
        <v>0.4</v>
      </c>
      <c r="M31" s="265"/>
      <c r="N31" s="265">
        <f>'Exhibit G state'!N30</f>
        <v>32.1</v>
      </c>
      <c r="O31" s="265"/>
      <c r="P31" s="265">
        <f>'Exhibit G state'!P30</f>
        <v>1.2</v>
      </c>
      <c r="Q31" s="265"/>
      <c r="R31" s="265"/>
      <c r="S31" s="265"/>
      <c r="T31" s="265"/>
      <c r="U31" s="265"/>
      <c r="V31" s="265"/>
      <c r="W31" s="265"/>
      <c r="X31" s="265"/>
      <c r="Y31" s="265"/>
      <c r="Z31" s="265"/>
      <c r="AA31" s="265"/>
      <c r="AB31" s="254"/>
      <c r="AC31" s="265">
        <f>ROUND(SUM(D31:Z31),1)</f>
        <v>66.099999999999994</v>
      </c>
      <c r="AD31" s="265"/>
      <c r="AE31" s="254"/>
      <c r="AF31" s="2402">
        <f>'Exhibit G state'!AH30</f>
        <v>62.5</v>
      </c>
      <c r="AG31" s="520"/>
      <c r="AH31" s="253"/>
      <c r="AI31" s="1214">
        <f>ROUND(SUM(+AC31-AF31),1)</f>
        <v>3.6</v>
      </c>
      <c r="AJ31" s="252"/>
      <c r="AK31" s="2040">
        <f>ROUND(IF(AF31=0,0,AI31/(AF31)),3)</f>
        <v>5.8000000000000003E-2</v>
      </c>
    </row>
    <row r="32" spans="1:37" ht="15" customHeight="1">
      <c r="A32" s="227"/>
      <c r="B32" s="2389" t="s">
        <v>1525</v>
      </c>
      <c r="C32" s="227"/>
      <c r="D32" s="265">
        <f>'Exhibit G state'!D31</f>
        <v>0.3</v>
      </c>
      <c r="E32" s="265"/>
      <c r="F32" s="265">
        <f>'Exhibit G state'!F31</f>
        <v>-1.4</v>
      </c>
      <c r="G32" s="265"/>
      <c r="H32" s="265">
        <f>'Exhibit G state'!H31</f>
        <v>34.5</v>
      </c>
      <c r="I32" s="265"/>
      <c r="J32" s="265">
        <f>'Exhibit G state'!J31</f>
        <v>-3.8</v>
      </c>
      <c r="K32" s="265"/>
      <c r="L32" s="265">
        <f>'Exhibit G state'!L31</f>
        <v>2.8</v>
      </c>
      <c r="M32" s="265"/>
      <c r="N32" s="265">
        <f>'Exhibit G state'!N31</f>
        <v>30.4</v>
      </c>
      <c r="O32" s="265"/>
      <c r="P32" s="265">
        <f>'Exhibit G state'!P31</f>
        <v>-2.5</v>
      </c>
      <c r="Q32" s="265"/>
      <c r="R32" s="265"/>
      <c r="S32" s="265"/>
      <c r="T32" s="265"/>
      <c r="U32" s="265"/>
      <c r="V32" s="265"/>
      <c r="W32" s="265"/>
      <c r="X32" s="265"/>
      <c r="Y32" s="265"/>
      <c r="Z32" s="265"/>
      <c r="AA32" s="265"/>
      <c r="AB32" s="254"/>
      <c r="AC32" s="265">
        <f>ROUND(SUM(D32:Z32),1)</f>
        <v>60.3</v>
      </c>
      <c r="AD32" s="265"/>
      <c r="AE32" s="254"/>
      <c r="AF32" s="2402">
        <f>'Exhibit G state'!AH31</f>
        <v>65.8</v>
      </c>
      <c r="AG32" s="520"/>
      <c r="AH32" s="253"/>
      <c r="AI32" s="1214">
        <f>ROUND(SUM(+AC32-AF32),1)</f>
        <v>-5.5</v>
      </c>
      <c r="AJ32" s="252"/>
      <c r="AK32" s="2040">
        <f>ROUND(IF(AF32=0,0,AI32/(AF32)),3)</f>
        <v>-8.4000000000000005E-2</v>
      </c>
    </row>
    <row r="33" spans="1:37" ht="15" customHeight="1">
      <c r="A33" s="227"/>
      <c r="B33" s="2389" t="s">
        <v>1526</v>
      </c>
      <c r="C33" s="227"/>
      <c r="D33" s="265">
        <f>'Exhibit G state'!D32</f>
        <v>4.5999999999999996</v>
      </c>
      <c r="E33" s="265"/>
      <c r="F33" s="265">
        <f>'Exhibit G state'!F32</f>
        <v>51.5</v>
      </c>
      <c r="G33" s="265"/>
      <c r="H33" s="265">
        <f>'Exhibit G state'!H32</f>
        <v>63.4</v>
      </c>
      <c r="I33" s="265"/>
      <c r="J33" s="265">
        <f>'Exhibit G state'!J32</f>
        <v>1.4</v>
      </c>
      <c r="K33" s="265"/>
      <c r="L33" s="265">
        <f>'Exhibit G state'!L32</f>
        <v>-1.2</v>
      </c>
      <c r="M33" s="265"/>
      <c r="N33" s="265">
        <f>'Exhibit G state'!N32</f>
        <v>28</v>
      </c>
      <c r="O33" s="265"/>
      <c r="P33" s="265">
        <f>'Exhibit G state'!P32</f>
        <v>-15.8</v>
      </c>
      <c r="Q33" s="265"/>
      <c r="R33" s="265"/>
      <c r="S33" s="265"/>
      <c r="T33" s="265"/>
      <c r="U33" s="265"/>
      <c r="V33" s="265"/>
      <c r="W33" s="265"/>
      <c r="X33" s="265"/>
      <c r="Y33" s="265"/>
      <c r="Z33" s="265"/>
      <c r="AA33" s="265"/>
      <c r="AB33" s="254"/>
      <c r="AC33" s="265">
        <f>ROUND(SUM(D33:Z33),1)</f>
        <v>131.9</v>
      </c>
      <c r="AD33" s="265"/>
      <c r="AE33" s="254"/>
      <c r="AF33" s="2402">
        <f>'Exhibit G state'!AH32</f>
        <v>81.5</v>
      </c>
      <c r="AG33" s="520"/>
      <c r="AH33" s="253"/>
      <c r="AI33" s="1214">
        <f>ROUND(SUM(+AC33-AF33),1)</f>
        <v>50.4</v>
      </c>
      <c r="AJ33" s="252"/>
      <c r="AK33" s="2040">
        <f>ROUND(IF(AF33=0,0,AI33/(AF33)),3)</f>
        <v>0.61799999999999999</v>
      </c>
    </row>
    <row r="34" spans="1:37" ht="15" customHeight="1">
      <c r="A34" s="227"/>
      <c r="B34" s="2389" t="s">
        <v>1527</v>
      </c>
      <c r="C34" s="227"/>
      <c r="D34" s="265">
        <f>'Exhibit G state'!D33</f>
        <v>44.1</v>
      </c>
      <c r="E34" s="265"/>
      <c r="F34" s="265">
        <f>'Exhibit G state'!F33</f>
        <v>40.9</v>
      </c>
      <c r="G34" s="265"/>
      <c r="H34" s="265">
        <f>'Exhibit G state'!H33</f>
        <v>48.4</v>
      </c>
      <c r="I34" s="265"/>
      <c r="J34" s="265">
        <f>'Exhibit G state'!J33</f>
        <v>41.9</v>
      </c>
      <c r="K34" s="265"/>
      <c r="L34" s="265">
        <f>'Exhibit G state'!L33</f>
        <v>51.1</v>
      </c>
      <c r="M34" s="265"/>
      <c r="N34" s="265">
        <f>'Exhibit G state'!N33</f>
        <v>46</v>
      </c>
      <c r="O34" s="265"/>
      <c r="P34" s="265">
        <f>'Exhibit G state'!P33</f>
        <v>41.8</v>
      </c>
      <c r="Q34" s="265"/>
      <c r="R34" s="265"/>
      <c r="S34" s="265"/>
      <c r="T34" s="265"/>
      <c r="U34" s="265"/>
      <c r="V34" s="265"/>
      <c r="W34" s="265"/>
      <c r="X34" s="265"/>
      <c r="Y34" s="265"/>
      <c r="Z34" s="265"/>
      <c r="AA34" s="265"/>
      <c r="AB34" s="254"/>
      <c r="AC34" s="265">
        <f>ROUND(SUM(D34:Z34),1)</f>
        <v>314.2</v>
      </c>
      <c r="AD34" s="265"/>
      <c r="AE34" s="254"/>
      <c r="AF34" s="2402">
        <f>'Exhibit G state'!AH33</f>
        <v>308.89999999999998</v>
      </c>
      <c r="AG34" s="520"/>
      <c r="AH34" s="253"/>
      <c r="AI34" s="1214">
        <f>ROUND(SUM(+AC34-AF34),1)</f>
        <v>5.3</v>
      </c>
      <c r="AJ34" s="252"/>
      <c r="AK34" s="2040">
        <f>ROUND(IF(AF34=0,0,AI34/(AF34)),3)</f>
        <v>1.7000000000000001E-2</v>
      </c>
    </row>
    <row r="35" spans="1:37" s="417" customFormat="1" ht="15" customHeight="1">
      <c r="A35" s="225"/>
      <c r="B35" s="2390" t="s">
        <v>1522</v>
      </c>
      <c r="C35" s="225"/>
      <c r="D35" s="260">
        <f>ROUND(SUM(D30:D34),1)</f>
        <v>70</v>
      </c>
      <c r="E35" s="2154"/>
      <c r="F35" s="260">
        <f>ROUND(SUM(F30:F34),1)</f>
        <v>111.2</v>
      </c>
      <c r="G35" s="2154"/>
      <c r="H35" s="260">
        <f>ROUND(SUM(H30:H34),1)</f>
        <v>241.8</v>
      </c>
      <c r="I35" s="2154"/>
      <c r="J35" s="260">
        <f>ROUND(SUM(J30:J34),1)</f>
        <v>52.2</v>
      </c>
      <c r="K35" s="2154"/>
      <c r="L35" s="260">
        <f>ROUND(SUM(L30:L34),1)</f>
        <v>80.900000000000006</v>
      </c>
      <c r="M35" s="2154"/>
      <c r="N35" s="260">
        <f>ROUND(SUM(N30:N34),1)</f>
        <v>201.9</v>
      </c>
      <c r="O35" s="2154"/>
      <c r="P35" s="260">
        <f>ROUND(SUM(P30:P34),1)</f>
        <v>37.4</v>
      </c>
      <c r="Q35" s="2154"/>
      <c r="R35" s="260">
        <f>ROUND(SUM(R30:R34),1)</f>
        <v>0</v>
      </c>
      <c r="S35" s="2154"/>
      <c r="T35" s="260">
        <f>ROUND(SUM(T30:T34),1)</f>
        <v>0</v>
      </c>
      <c r="U35" s="2154"/>
      <c r="V35" s="260">
        <f>ROUND(SUM(V30:V34),1)</f>
        <v>0</v>
      </c>
      <c r="W35" s="2154"/>
      <c r="X35" s="260">
        <f>ROUND(SUM(X30:X34),1)</f>
        <v>0</v>
      </c>
      <c r="Y35" s="2154"/>
      <c r="Z35" s="260">
        <f>ROUND(SUM(Z30:Z34),1)</f>
        <v>0</v>
      </c>
      <c r="AA35" s="2154"/>
      <c r="AB35" s="263"/>
      <c r="AC35" s="260">
        <f>ROUND(SUM(AC30:AC34),1)</f>
        <v>795.4</v>
      </c>
      <c r="AD35" s="2154"/>
      <c r="AE35" s="263"/>
      <c r="AF35" s="260">
        <f>ROUND(SUM(AF30:AF34),1)</f>
        <v>738.5</v>
      </c>
      <c r="AG35" s="527"/>
      <c r="AH35" s="277"/>
      <c r="AI35" s="260">
        <f>ROUND(SUM(AI30:AI34),1)</f>
        <v>56.9</v>
      </c>
      <c r="AK35" s="533">
        <f>ROUND(SUM(+AI35/AF35),3)</f>
        <v>7.6999999999999999E-2</v>
      </c>
    </row>
    <row r="36" spans="1:37" ht="15" customHeight="1">
      <c r="A36" s="227"/>
      <c r="B36" s="2661" t="s">
        <v>1571</v>
      </c>
      <c r="C36" s="227"/>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54"/>
      <c r="AC36" s="265"/>
      <c r="AD36" s="265"/>
      <c r="AE36" s="254"/>
      <c r="AF36" s="265"/>
      <c r="AG36" s="520"/>
      <c r="AH36" s="253"/>
      <c r="AI36" s="1214"/>
      <c r="AK36" s="2201"/>
    </row>
    <row r="37" spans="1:37" ht="15" customHeight="1">
      <c r="A37" s="227"/>
      <c r="B37" s="2391" t="s">
        <v>1535</v>
      </c>
      <c r="C37" s="227"/>
      <c r="D37" s="265">
        <f>'Exhibit G state'!D36</f>
        <v>128.80000000000001</v>
      </c>
      <c r="E37" s="265"/>
      <c r="F37" s="265">
        <f>'Exhibit G state'!F36</f>
        <v>96.2</v>
      </c>
      <c r="G37" s="265"/>
      <c r="H37" s="265">
        <f>'Exhibit G state'!H36</f>
        <v>79.900000000000006</v>
      </c>
      <c r="I37" s="265"/>
      <c r="J37" s="265">
        <f>'Exhibit G state'!J36</f>
        <v>98.2</v>
      </c>
      <c r="K37" s="265"/>
      <c r="L37" s="265">
        <f>'Exhibit G state'!L36</f>
        <v>85.1</v>
      </c>
      <c r="M37" s="265"/>
      <c r="N37" s="265">
        <f>'Exhibit G state'!N36</f>
        <v>81.8</v>
      </c>
      <c r="O37" s="265"/>
      <c r="P37" s="265">
        <f>'Exhibit G state'!P36</f>
        <v>101.6</v>
      </c>
      <c r="Q37" s="265"/>
      <c r="R37" s="265"/>
      <c r="S37" s="265"/>
      <c r="T37" s="265"/>
      <c r="U37" s="265"/>
      <c r="V37" s="265"/>
      <c r="W37" s="265"/>
      <c r="X37" s="265"/>
      <c r="Y37" s="265"/>
      <c r="Z37" s="265"/>
      <c r="AA37" s="265"/>
      <c r="AB37" s="254"/>
      <c r="AC37" s="265">
        <f>ROUND(SUM(D37:Z37),1)</f>
        <v>671.6</v>
      </c>
      <c r="AD37" s="265"/>
      <c r="AE37" s="254"/>
      <c r="AF37" s="2402">
        <f>'Exhibit G state'!AH36</f>
        <v>642.20000000000005</v>
      </c>
      <c r="AG37" s="520"/>
      <c r="AH37" s="253"/>
      <c r="AI37" s="1214">
        <f>ROUND(SUM(+AC37-AF37),1)</f>
        <v>29.4</v>
      </c>
      <c r="AJ37" s="252"/>
      <c r="AK37" s="2040">
        <f>ROUND(IF(AF37=0,0,AI37/(AF37)),3)</f>
        <v>4.5999999999999999E-2</v>
      </c>
    </row>
    <row r="38" spans="1:37" s="417" customFormat="1" ht="15" customHeight="1">
      <c r="A38" s="225"/>
      <c r="B38" s="2390" t="s">
        <v>1528</v>
      </c>
      <c r="C38" s="225"/>
      <c r="D38" s="489">
        <f>ROUND(SUM(D37:D37),1)</f>
        <v>128.80000000000001</v>
      </c>
      <c r="E38" s="2154"/>
      <c r="F38" s="489">
        <f>ROUND(SUM(F37:F37),1)</f>
        <v>96.2</v>
      </c>
      <c r="G38" s="2154"/>
      <c r="H38" s="489">
        <f>ROUND(SUM(H37:H37),1)</f>
        <v>79.900000000000006</v>
      </c>
      <c r="I38" s="2154"/>
      <c r="J38" s="489">
        <f>ROUND(SUM(J37:J37),1)</f>
        <v>98.2</v>
      </c>
      <c r="K38" s="2154"/>
      <c r="L38" s="489">
        <f>ROUND(SUM(L37:L37),1)</f>
        <v>85.1</v>
      </c>
      <c r="M38" s="2154"/>
      <c r="N38" s="489">
        <f>ROUND(SUM(N37:N37),1)</f>
        <v>81.8</v>
      </c>
      <c r="O38" s="2154"/>
      <c r="P38" s="489">
        <f>ROUND(SUM(P37:P37),1)</f>
        <v>101.6</v>
      </c>
      <c r="Q38" s="2154"/>
      <c r="R38" s="489">
        <f>ROUND(SUM(R37:R37),1)</f>
        <v>0</v>
      </c>
      <c r="S38" s="2154"/>
      <c r="T38" s="489">
        <f>ROUND(SUM(T37:T37),1)</f>
        <v>0</v>
      </c>
      <c r="U38" s="2154"/>
      <c r="V38" s="489">
        <f>ROUND(SUM(V37:V37),1)</f>
        <v>0</v>
      </c>
      <c r="W38" s="2154"/>
      <c r="X38" s="489">
        <f>ROUND(SUM(X37:X37),1)</f>
        <v>0</v>
      </c>
      <c r="Y38" s="2154"/>
      <c r="Z38" s="489">
        <f>ROUND(SUM(Z37:Z37),1)</f>
        <v>0</v>
      </c>
      <c r="AA38" s="2154"/>
      <c r="AB38" s="263"/>
      <c r="AC38" s="489">
        <f>ROUND(SUM(AC37:AC37),1)</f>
        <v>671.6</v>
      </c>
      <c r="AD38" s="2154"/>
      <c r="AE38" s="263"/>
      <c r="AF38" s="489">
        <f>ROUND(SUM(AF37:AF37),1)</f>
        <v>642.20000000000005</v>
      </c>
      <c r="AG38" s="527"/>
      <c r="AH38" s="277"/>
      <c r="AI38" s="489">
        <f>ROUND(SUM(AI37:AI37),1)</f>
        <v>29.4</v>
      </c>
      <c r="AK38" s="2373">
        <f>ROUND(SUM(+AI38/AF38),3)</f>
        <v>4.5999999999999999E-2</v>
      </c>
    </row>
    <row r="39" spans="1:37" ht="15" customHeight="1">
      <c r="A39" s="227"/>
      <c r="B39" s="2404"/>
      <c r="C39" s="227"/>
      <c r="D39" s="253"/>
      <c r="E39" s="265"/>
      <c r="F39" s="253"/>
      <c r="G39" s="253"/>
      <c r="H39" s="253"/>
      <c r="I39" s="253"/>
      <c r="J39" s="253"/>
      <c r="K39" s="253"/>
      <c r="L39" s="253"/>
      <c r="M39" s="253"/>
      <c r="N39" s="253"/>
      <c r="O39" s="253"/>
      <c r="P39" s="253"/>
      <c r="Q39" s="253"/>
      <c r="R39" s="253"/>
      <c r="S39" s="253"/>
      <c r="T39" s="253"/>
      <c r="U39" s="253"/>
      <c r="V39" s="253"/>
      <c r="W39" s="253"/>
      <c r="X39" s="253"/>
      <c r="Y39" s="253"/>
      <c r="Z39" s="253"/>
      <c r="AA39" s="265"/>
      <c r="AB39" s="254"/>
      <c r="AC39" s="253"/>
      <c r="AD39" s="265"/>
      <c r="AE39" s="254"/>
      <c r="AF39" s="253"/>
      <c r="AG39" s="520"/>
      <c r="AH39" s="253"/>
      <c r="AI39" s="2176"/>
      <c r="AJ39" s="233"/>
      <c r="AK39" s="1311"/>
    </row>
    <row r="40" spans="1:37" ht="15" customHeight="1">
      <c r="A40" s="227"/>
      <c r="B40" s="2390" t="s">
        <v>1496</v>
      </c>
      <c r="C40" s="227"/>
      <c r="D40" s="2627">
        <f>ROUND(SUM(D18+D28+D35+D38),1)</f>
        <v>417.2</v>
      </c>
      <c r="E40" s="265"/>
      <c r="F40" s="275">
        <f>ROUND(SUM(F18+F28+F35+F38),1)</f>
        <v>361.5</v>
      </c>
      <c r="G40" s="265"/>
      <c r="H40" s="275">
        <f>ROUND(SUM(H18+H28+H35+H38),1)</f>
        <v>926.4</v>
      </c>
      <c r="I40" s="265"/>
      <c r="J40" s="275">
        <f>ROUND(SUM(J18+J28+J35+J38),1)</f>
        <v>337.8</v>
      </c>
      <c r="K40" s="265"/>
      <c r="L40" s="275">
        <f>ROUND(SUM(L18+L28+L35+L38),1)</f>
        <v>325.2</v>
      </c>
      <c r="M40" s="265"/>
      <c r="N40" s="275">
        <f>ROUND(SUM(N18+N28+N35+N38),1)</f>
        <v>681.3</v>
      </c>
      <c r="O40" s="265"/>
      <c r="P40" s="275">
        <f>ROUND(SUM(P18+P28+P35+P38),1)</f>
        <v>322.5</v>
      </c>
      <c r="Q40" s="265"/>
      <c r="R40" s="275">
        <f>ROUND(SUM(R18+R28+R35+R38),1)</f>
        <v>0</v>
      </c>
      <c r="S40" s="265"/>
      <c r="T40" s="275">
        <f>ROUND(SUM(T18+T28+T35+T38),1)</f>
        <v>0</v>
      </c>
      <c r="U40" s="265"/>
      <c r="V40" s="275">
        <f>ROUND(SUM(V18+V28+V35+V38),1)</f>
        <v>0</v>
      </c>
      <c r="W40" s="265"/>
      <c r="X40" s="275">
        <f>ROUND(SUM(X18+X28+X35+X38),1)</f>
        <v>0</v>
      </c>
      <c r="Y40" s="265"/>
      <c r="Z40" s="275">
        <f>ROUND(SUM(Z18+Z28+Z35+Z38),1)</f>
        <v>0</v>
      </c>
      <c r="AA40" s="265"/>
      <c r="AB40" s="254"/>
      <c r="AC40" s="275">
        <f>ROUND(SUM(AC18+AC28+AC35+AC38),1)</f>
        <v>3371.9</v>
      </c>
      <c r="AD40" s="265"/>
      <c r="AE40" s="254"/>
      <c r="AF40" s="275">
        <f>ROUND(SUM(AF18+AF28+AF35+AF38),1)</f>
        <v>3281.5</v>
      </c>
      <c r="AG40" s="520"/>
      <c r="AH40" s="253"/>
      <c r="AI40" s="275">
        <f>ROUND(SUM(AI18+AI28+AI35+AI38),1)</f>
        <v>90.4</v>
      </c>
      <c r="AK40" s="530">
        <f>ROUND(SUM(+AI40/AF40),3)</f>
        <v>2.8000000000000001E-2</v>
      </c>
    </row>
    <row r="41" spans="1:37" ht="15" customHeight="1">
      <c r="A41" s="227"/>
      <c r="B41" s="227"/>
      <c r="C41" s="227"/>
      <c r="D41" s="1372"/>
      <c r="E41" s="265"/>
      <c r="F41" s="1372"/>
      <c r="G41" s="265"/>
      <c r="H41" s="1372"/>
      <c r="I41" s="265"/>
      <c r="J41" s="1372"/>
      <c r="K41" s="265"/>
      <c r="L41" s="1372"/>
      <c r="M41" s="265"/>
      <c r="N41" s="278"/>
      <c r="O41" s="265"/>
      <c r="P41" s="278"/>
      <c r="Q41" s="265"/>
      <c r="R41" s="278"/>
      <c r="S41" s="265"/>
      <c r="T41" s="278"/>
      <c r="U41" s="265"/>
      <c r="V41" s="278"/>
      <c r="W41" s="265"/>
      <c r="X41" s="278"/>
      <c r="Y41" s="265"/>
      <c r="Z41" s="523"/>
      <c r="AA41" s="265"/>
      <c r="AB41" s="254"/>
      <c r="AC41" s="265"/>
      <c r="AD41" s="265"/>
      <c r="AE41" s="254"/>
      <c r="AF41" s="521"/>
      <c r="AG41" s="524"/>
      <c r="AH41" s="253"/>
      <c r="AI41" s="1214"/>
      <c r="AJ41" s="252"/>
      <c r="AK41" s="2201"/>
    </row>
    <row r="42" spans="1:37" ht="15" customHeight="1">
      <c r="A42" s="227"/>
      <c r="B42" s="495" t="s">
        <v>1428</v>
      </c>
      <c r="C42" s="227"/>
      <c r="D42" s="1372"/>
      <c r="E42" s="265"/>
      <c r="F42" s="1372"/>
      <c r="G42" s="265"/>
      <c r="H42" s="1372"/>
      <c r="I42" s="265"/>
      <c r="J42" s="1372"/>
      <c r="K42" s="265"/>
      <c r="L42" s="1372"/>
      <c r="M42" s="265"/>
      <c r="N42" s="278"/>
      <c r="O42" s="265"/>
      <c r="P42" s="278"/>
      <c r="Q42" s="265"/>
      <c r="R42" s="278"/>
      <c r="S42" s="265"/>
      <c r="T42" s="278"/>
      <c r="U42" s="265"/>
      <c r="V42" s="278"/>
      <c r="W42" s="265"/>
      <c r="X42" s="278"/>
      <c r="Y42" s="265"/>
      <c r="Z42" s="523"/>
      <c r="AA42" s="265"/>
      <c r="AB42" s="254"/>
      <c r="AC42" s="265"/>
      <c r="AD42" s="265"/>
      <c r="AE42" s="254"/>
      <c r="AF42" s="521"/>
      <c r="AG42" s="524"/>
      <c r="AH42" s="253"/>
      <c r="AI42" s="1214"/>
      <c r="AJ42" s="252"/>
      <c r="AK42" s="2201"/>
    </row>
    <row r="43" spans="1:37" ht="15" customHeight="1">
      <c r="A43" s="227"/>
      <c r="B43" s="1979" t="s">
        <v>1561</v>
      </c>
      <c r="C43" s="227"/>
      <c r="D43" s="1372"/>
      <c r="E43" s="265"/>
      <c r="F43" s="1372"/>
      <c r="G43" s="265"/>
      <c r="H43" s="1372"/>
      <c r="I43" s="265"/>
      <c r="J43" s="1372"/>
      <c r="K43" s="265"/>
      <c r="L43" s="1372"/>
      <c r="M43" s="265"/>
      <c r="N43" s="278"/>
      <c r="O43" s="265"/>
      <c r="P43" s="278"/>
      <c r="Q43" s="265"/>
      <c r="R43" s="278"/>
      <c r="S43" s="265"/>
      <c r="T43" s="278"/>
      <c r="U43" s="265"/>
      <c r="V43" s="278"/>
      <c r="W43" s="265"/>
      <c r="X43" s="278"/>
      <c r="Y43" s="265"/>
      <c r="Z43" s="523"/>
      <c r="AA43" s="265"/>
      <c r="AB43" s="254"/>
      <c r="AC43" s="265"/>
      <c r="AD43" s="265"/>
      <c r="AE43" s="254"/>
      <c r="AF43" s="521"/>
      <c r="AG43" s="524"/>
      <c r="AH43" s="253"/>
      <c r="AI43" s="1214"/>
      <c r="AJ43" s="252"/>
      <c r="AK43" s="2201"/>
    </row>
    <row r="44" spans="1:37" ht="15" customHeight="1">
      <c r="A44" s="227"/>
      <c r="B44" s="1979" t="s">
        <v>1461</v>
      </c>
      <c r="C44" s="227"/>
      <c r="D44" s="1372">
        <f>'Exhibit G state'!D43+'Exhibit G Federal'!D19</f>
        <v>0.7</v>
      </c>
      <c r="E44" s="265"/>
      <c r="F44" s="1372">
        <f>'Exhibit G state'!F43+'Exhibit G Federal'!F19</f>
        <v>1.1000000000000001</v>
      </c>
      <c r="G44" s="265"/>
      <c r="H44" s="1372">
        <f>'Exhibit G state'!H43+'Exhibit G Federal'!H19</f>
        <v>1</v>
      </c>
      <c r="I44" s="265"/>
      <c r="J44" s="1372">
        <f>'Exhibit G state'!J43+'Exhibit G Federal'!J19</f>
        <v>1.3</v>
      </c>
      <c r="K44" s="265"/>
      <c r="L44" s="1372">
        <f>'Exhibit G state'!L43+'Exhibit G Federal'!L19</f>
        <v>0.8</v>
      </c>
      <c r="M44" s="265"/>
      <c r="N44" s="1372">
        <f>'Exhibit G state'!N43+'Exhibit G Federal'!N19</f>
        <v>0.9</v>
      </c>
      <c r="O44" s="265"/>
      <c r="P44" s="1372">
        <f>'Exhibit G state'!P43+'Exhibit G Federal'!P19</f>
        <v>0.8</v>
      </c>
      <c r="Q44" s="265"/>
      <c r="R44" s="278"/>
      <c r="S44" s="265"/>
      <c r="T44" s="278"/>
      <c r="U44" s="265"/>
      <c r="V44" s="278"/>
      <c r="W44" s="265"/>
      <c r="X44" s="278"/>
      <c r="Y44" s="265"/>
      <c r="Z44" s="523"/>
      <c r="AA44" s="265"/>
      <c r="AB44" s="254"/>
      <c r="AC44" s="265">
        <f t="shared" ref="AC44:AC83" si="3">ROUND(SUM(D44:Z44),1)</f>
        <v>6.6</v>
      </c>
      <c r="AD44" s="265"/>
      <c r="AE44" s="254"/>
      <c r="AF44" s="521">
        <f>+'Exhibit G state'!AH43+'Exhibit G Federal'!AH19</f>
        <v>6.1</v>
      </c>
      <c r="AG44" s="524"/>
      <c r="AH44" s="253"/>
      <c r="AI44" s="1214">
        <f>ROUND(SUM(+AC44-AF44),1)</f>
        <v>0.5</v>
      </c>
      <c r="AJ44" s="252"/>
      <c r="AK44" s="2040">
        <f t="shared" ref="AK44:AK80" si="4">ROUND(IF(AF44=0,0,AI44/(AF44)),3)</f>
        <v>8.2000000000000003E-2</v>
      </c>
    </row>
    <row r="45" spans="1:37" ht="15" customHeight="1">
      <c r="A45" s="227"/>
      <c r="B45" s="1979" t="s">
        <v>1562</v>
      </c>
      <c r="C45" s="227"/>
      <c r="D45" s="1400"/>
      <c r="E45" s="265"/>
      <c r="F45" s="1400"/>
      <c r="G45" s="265"/>
      <c r="H45" s="1400"/>
      <c r="I45" s="265"/>
      <c r="J45" s="1400"/>
      <c r="K45" s="265"/>
      <c r="L45" s="1400"/>
      <c r="M45" s="265"/>
      <c r="N45" s="1400"/>
      <c r="O45" s="265"/>
      <c r="P45" s="1372"/>
      <c r="Q45" s="265"/>
      <c r="R45" s="278"/>
      <c r="S45" s="265"/>
      <c r="T45" s="278"/>
      <c r="U45" s="265"/>
      <c r="V45" s="278"/>
      <c r="W45" s="265"/>
      <c r="X45" s="278"/>
      <c r="Y45" s="265"/>
      <c r="Z45" s="523"/>
      <c r="AA45" s="265"/>
      <c r="AB45" s="254"/>
      <c r="AC45" s="265"/>
      <c r="AD45" s="265"/>
      <c r="AE45" s="254"/>
      <c r="AF45" s="521"/>
      <c r="AG45" s="524"/>
      <c r="AH45" s="253"/>
      <c r="AI45" s="1214"/>
      <c r="AJ45" s="252"/>
      <c r="AK45" s="2201"/>
    </row>
    <row r="46" spans="1:37" ht="15" customHeight="1">
      <c r="A46" s="227"/>
      <c r="B46" s="1979" t="s">
        <v>1463</v>
      </c>
      <c r="C46" s="227"/>
      <c r="D46" s="1400">
        <f>'Exhibit G state'!D45+'Exhibit G Federal'!D21</f>
        <v>64.400000000000006</v>
      </c>
      <c r="E46" s="265"/>
      <c r="F46" s="1400">
        <f>'Exhibit G state'!F45+'Exhibit G Federal'!F21</f>
        <v>91.2</v>
      </c>
      <c r="G46" s="265"/>
      <c r="H46" s="1400">
        <f>'Exhibit G state'!H45+'Exhibit G Federal'!H21</f>
        <v>148.79999999999998</v>
      </c>
      <c r="I46" s="265"/>
      <c r="J46" s="1372">
        <f>'Exhibit G state'!J45+'Exhibit G Federal'!J21</f>
        <v>9.6999999999999993</v>
      </c>
      <c r="K46" s="265"/>
      <c r="L46" s="1372">
        <f>'Exhibit G state'!L45+'Exhibit G Federal'!L21</f>
        <v>61.1</v>
      </c>
      <c r="M46" s="265"/>
      <c r="N46" s="1372">
        <f>'Exhibit G state'!N45+'Exhibit G Federal'!N21</f>
        <v>137.6</v>
      </c>
      <c r="O46" s="265"/>
      <c r="P46" s="1372">
        <f>'Exhibit G state'!P45+'Exhibit G Federal'!P21</f>
        <v>21.400000000000002</v>
      </c>
      <c r="Q46" s="265"/>
      <c r="R46" s="278"/>
      <c r="S46" s="265"/>
      <c r="T46" s="278"/>
      <c r="U46" s="265"/>
      <c r="V46" s="278"/>
      <c r="W46" s="265"/>
      <c r="X46" s="278"/>
      <c r="Y46" s="265"/>
      <c r="Z46" s="523"/>
      <c r="AA46" s="265"/>
      <c r="AB46" s="254"/>
      <c r="AC46" s="265">
        <f t="shared" si="3"/>
        <v>534.20000000000005</v>
      </c>
      <c r="AD46" s="265"/>
      <c r="AE46" s="254"/>
      <c r="AF46" s="521">
        <f>+'Exhibit G state'!AH45+'Exhibit G Federal'!AH21</f>
        <v>518</v>
      </c>
      <c r="AG46" s="524"/>
      <c r="AH46" s="253"/>
      <c r="AI46" s="1214">
        <f>ROUND(SUM(+AC46-AF46),1)</f>
        <v>16.2</v>
      </c>
      <c r="AJ46" s="252"/>
      <c r="AK46" s="2040">
        <f t="shared" si="4"/>
        <v>3.1E-2</v>
      </c>
    </row>
    <row r="47" spans="1:37" ht="15" customHeight="1">
      <c r="A47" s="227"/>
      <c r="B47" s="1979" t="s">
        <v>1464</v>
      </c>
      <c r="C47" s="227"/>
      <c r="D47" s="1400">
        <f>'Exhibit G state'!D46+'Exhibit G Federal'!D22</f>
        <v>383</v>
      </c>
      <c r="E47" s="265"/>
      <c r="F47" s="1400">
        <f>'Exhibit G state'!F46+'Exhibit G Federal'!F22</f>
        <v>376.1</v>
      </c>
      <c r="G47" s="265"/>
      <c r="H47" s="1400">
        <f>'Exhibit G state'!H46+'Exhibit G Federal'!H22</f>
        <v>355.8</v>
      </c>
      <c r="I47" s="265"/>
      <c r="J47" s="1372">
        <f>'Exhibit G state'!J46+'Exhibit G Federal'!J22</f>
        <v>450.69999999999982</v>
      </c>
      <c r="K47" s="265"/>
      <c r="L47" s="1372">
        <f>'Exhibit G state'!L46+'Exhibit G Federal'!L22</f>
        <v>436</v>
      </c>
      <c r="M47" s="265"/>
      <c r="N47" s="1372">
        <f>'Exhibit G state'!N46+'Exhibit G Federal'!N22</f>
        <v>458.5</v>
      </c>
      <c r="O47" s="265"/>
      <c r="P47" s="1372">
        <f>'Exhibit G state'!P46+'Exhibit G Federal'!P22</f>
        <v>424.6</v>
      </c>
      <c r="Q47" s="265"/>
      <c r="R47" s="278"/>
      <c r="S47" s="265"/>
      <c r="T47" s="278"/>
      <c r="U47" s="265"/>
      <c r="V47" s="278"/>
      <c r="W47" s="265"/>
      <c r="X47" s="278"/>
      <c r="Y47" s="265"/>
      <c r="Z47" s="523"/>
      <c r="AA47" s="265"/>
      <c r="AB47" s="254"/>
      <c r="AC47" s="265">
        <f t="shared" si="3"/>
        <v>2884.7</v>
      </c>
      <c r="AD47" s="265"/>
      <c r="AE47" s="254"/>
      <c r="AF47" s="521">
        <f>+'Exhibit G state'!AH46+'Exhibit G Federal'!AH22</f>
        <v>2793.7</v>
      </c>
      <c r="AG47" s="524"/>
      <c r="AH47" s="253"/>
      <c r="AI47" s="1214">
        <f>ROUND(SUM(+AC47-AF47),1)</f>
        <v>91</v>
      </c>
      <c r="AJ47" s="252"/>
      <c r="AK47" s="2040">
        <f t="shared" si="4"/>
        <v>3.3000000000000002E-2</v>
      </c>
    </row>
    <row r="48" spans="1:37" ht="15" customHeight="1">
      <c r="A48" s="227"/>
      <c r="B48" s="1979" t="s">
        <v>1465</v>
      </c>
      <c r="C48" s="227"/>
      <c r="D48" s="1400">
        <f>'Exhibit G state'!D47+'Exhibit G Federal'!D23</f>
        <v>0.5</v>
      </c>
      <c r="E48" s="265"/>
      <c r="F48" s="1400">
        <f>'Exhibit G state'!F47+'Exhibit G Federal'!F23</f>
        <v>0</v>
      </c>
      <c r="G48" s="265"/>
      <c r="H48" s="1400">
        <f>'Exhibit G state'!H47+'Exhibit G Federal'!H23</f>
        <v>0.3</v>
      </c>
      <c r="I48" s="265"/>
      <c r="J48" s="1372">
        <f>'Exhibit G state'!J47+'Exhibit G Federal'!J23</f>
        <v>0</v>
      </c>
      <c r="K48" s="265"/>
      <c r="L48" s="1372">
        <f>'Exhibit G state'!L47+'Exhibit G Federal'!L23</f>
        <v>0.4</v>
      </c>
      <c r="M48" s="265"/>
      <c r="N48" s="1372">
        <f>'Exhibit G state'!N47+'Exhibit G Federal'!N23</f>
        <v>46</v>
      </c>
      <c r="O48" s="265"/>
      <c r="P48" s="1372">
        <f>'Exhibit G state'!P47+'Exhibit G Federal'!P23</f>
        <v>0.9</v>
      </c>
      <c r="Q48" s="265"/>
      <c r="R48" s="278"/>
      <c r="S48" s="265"/>
      <c r="T48" s="278"/>
      <c r="U48" s="265"/>
      <c r="V48" s="278"/>
      <c r="W48" s="265"/>
      <c r="X48" s="278"/>
      <c r="Y48" s="265"/>
      <c r="Z48" s="523"/>
      <c r="AA48" s="265"/>
      <c r="AB48" s="254"/>
      <c r="AC48" s="265">
        <f t="shared" si="3"/>
        <v>48.1</v>
      </c>
      <c r="AD48" s="265"/>
      <c r="AE48" s="254"/>
      <c r="AF48" s="521">
        <f>+'Exhibit G state'!AH47+'Exhibit G Federal'!AH23</f>
        <v>43.3</v>
      </c>
      <c r="AG48" s="524"/>
      <c r="AH48" s="253"/>
      <c r="AI48" s="1214">
        <f>ROUND(SUM(+AC48-AF48),1)</f>
        <v>4.8</v>
      </c>
      <c r="AJ48" s="252"/>
      <c r="AK48" s="2040">
        <f t="shared" si="4"/>
        <v>0.111</v>
      </c>
    </row>
    <row r="49" spans="1:37" ht="15" customHeight="1">
      <c r="A49" s="227"/>
      <c r="B49" s="1979" t="s">
        <v>1466</v>
      </c>
      <c r="C49" s="227"/>
      <c r="D49" s="1400">
        <f>'Exhibit G state'!D48+'Exhibit G Federal'!D24</f>
        <v>16.5</v>
      </c>
      <c r="E49" s="265"/>
      <c r="F49" s="1400">
        <f>'Exhibit G state'!F48+'Exhibit G Federal'!F24</f>
        <v>17.100000000000001</v>
      </c>
      <c r="G49" s="265"/>
      <c r="H49" s="1400">
        <f>'Exhibit G state'!H48+'Exhibit G Federal'!H24</f>
        <v>17.600000000000001</v>
      </c>
      <c r="I49" s="265"/>
      <c r="J49" s="1372">
        <f>'Exhibit G state'!J48+'Exhibit G Federal'!J24</f>
        <v>17.5</v>
      </c>
      <c r="K49" s="265"/>
      <c r="L49" s="1372">
        <f>'Exhibit G state'!L48+'Exhibit G Federal'!L24</f>
        <v>18.099999999999994</v>
      </c>
      <c r="M49" s="265"/>
      <c r="N49" s="1372">
        <f>'Exhibit G state'!N48+'Exhibit G Federal'!N24</f>
        <v>16.8</v>
      </c>
      <c r="O49" s="265"/>
      <c r="P49" s="1372">
        <f>'Exhibit G state'!P48+'Exhibit G Federal'!P24</f>
        <v>17.5</v>
      </c>
      <c r="Q49" s="265"/>
      <c r="R49" s="278"/>
      <c r="S49" s="265"/>
      <c r="T49" s="278"/>
      <c r="U49" s="265"/>
      <c r="V49" s="278"/>
      <c r="W49" s="265"/>
      <c r="X49" s="278"/>
      <c r="Y49" s="265"/>
      <c r="Z49" s="523"/>
      <c r="AA49" s="265"/>
      <c r="AB49" s="254"/>
      <c r="AC49" s="265">
        <f t="shared" si="3"/>
        <v>121.1</v>
      </c>
      <c r="AD49" s="265"/>
      <c r="AE49" s="254"/>
      <c r="AF49" s="521">
        <f>+'Exhibit G state'!AH48+'Exhibit G Federal'!AH24</f>
        <v>121.6</v>
      </c>
      <c r="AG49" s="524"/>
      <c r="AH49" s="253"/>
      <c r="AI49" s="1214">
        <f>ROUND(SUM(+AC49-AF49),1)</f>
        <v>-0.5</v>
      </c>
      <c r="AJ49" s="252"/>
      <c r="AK49" s="2040">
        <f t="shared" si="4"/>
        <v>-4.0000000000000001E-3</v>
      </c>
    </row>
    <row r="50" spans="1:37" ht="15" customHeight="1">
      <c r="A50" s="227"/>
      <c r="B50" s="1979" t="s">
        <v>1567</v>
      </c>
      <c r="C50" s="227"/>
      <c r="D50" s="1400"/>
      <c r="E50" s="265"/>
      <c r="F50" s="1400"/>
      <c r="G50" s="265"/>
      <c r="H50" s="1400"/>
      <c r="I50" s="265"/>
      <c r="J50" s="1400"/>
      <c r="K50" s="265"/>
      <c r="L50" s="1400"/>
      <c r="M50" s="265"/>
      <c r="N50" s="1400"/>
      <c r="O50" s="265"/>
      <c r="P50" s="1372"/>
      <c r="Q50" s="265"/>
      <c r="R50" s="278"/>
      <c r="S50" s="265"/>
      <c r="T50" s="278"/>
      <c r="U50" s="265"/>
      <c r="V50" s="278"/>
      <c r="W50" s="265"/>
      <c r="X50" s="278"/>
      <c r="Y50" s="265"/>
      <c r="Z50" s="523"/>
      <c r="AA50" s="265"/>
      <c r="AB50" s="254"/>
      <c r="AC50" s="265"/>
      <c r="AD50" s="265"/>
      <c r="AE50" s="254"/>
      <c r="AF50" s="521"/>
      <c r="AG50" s="524"/>
      <c r="AH50" s="253"/>
      <c r="AI50" s="1214"/>
      <c r="AJ50" s="252"/>
      <c r="AK50" s="2201"/>
    </row>
    <row r="51" spans="1:37" ht="15" customHeight="1">
      <c r="A51" s="227"/>
      <c r="B51" s="1979" t="s">
        <v>1467</v>
      </c>
      <c r="C51" s="227"/>
      <c r="D51" s="1400">
        <f>'Exhibit G state'!D50+'Exhibit G Federal'!D26</f>
        <v>58.7</v>
      </c>
      <c r="E51" s="265"/>
      <c r="F51" s="1400">
        <f>'Exhibit G state'!F50+'Exhibit G Federal'!F26</f>
        <v>51.9</v>
      </c>
      <c r="G51" s="265"/>
      <c r="H51" s="1400">
        <f>'Exhibit G state'!H50+'Exhibit G Federal'!H26</f>
        <v>86.7</v>
      </c>
      <c r="I51" s="265"/>
      <c r="J51" s="1372">
        <f>'Exhibit G state'!J50+'Exhibit G Federal'!J26</f>
        <v>54.399999999999977</v>
      </c>
      <c r="K51" s="265"/>
      <c r="L51" s="1372">
        <f>'Exhibit G state'!L50+'Exhibit G Federal'!L26</f>
        <v>86</v>
      </c>
      <c r="M51" s="265"/>
      <c r="N51" s="1372">
        <f>'Exhibit G state'!N50+'Exhibit G Federal'!N26</f>
        <v>189.4</v>
      </c>
      <c r="O51" s="265"/>
      <c r="P51" s="1372">
        <f>'Exhibit G state'!P50+'Exhibit G Federal'!P26</f>
        <v>95.4</v>
      </c>
      <c r="Q51" s="265"/>
      <c r="R51" s="278"/>
      <c r="S51" s="265"/>
      <c r="T51" s="278"/>
      <c r="U51" s="265"/>
      <c r="V51" s="278"/>
      <c r="W51" s="265"/>
      <c r="X51" s="278"/>
      <c r="Y51" s="265"/>
      <c r="Z51" s="523"/>
      <c r="AA51" s="265"/>
      <c r="AB51" s="254"/>
      <c r="AC51" s="265">
        <f t="shared" si="3"/>
        <v>622.5</v>
      </c>
      <c r="AD51" s="265"/>
      <c r="AE51" s="254"/>
      <c r="AF51" s="521">
        <f>+'Exhibit G state'!AH50+'Exhibit G Federal'!AH26</f>
        <v>630.79999999999995</v>
      </c>
      <c r="AG51" s="524"/>
      <c r="AH51" s="253"/>
      <c r="AI51" s="1214">
        <f t="shared" ref="AI51:AI56" si="5">ROUND(SUM(+AC51-AF51),1)</f>
        <v>-8.3000000000000007</v>
      </c>
      <c r="AJ51" s="252"/>
      <c r="AK51" s="2040">
        <f t="shared" si="4"/>
        <v>-1.2999999999999999E-2</v>
      </c>
    </row>
    <row r="52" spans="1:37" ht="15" customHeight="1">
      <c r="A52" s="227"/>
      <c r="B52" s="1979" t="s">
        <v>1468</v>
      </c>
      <c r="C52" s="227"/>
      <c r="D52" s="1400">
        <f>'Exhibit G state'!D51+'Exhibit G Federal'!D27</f>
        <v>4</v>
      </c>
      <c r="E52" s="265"/>
      <c r="F52" s="1400">
        <f>'Exhibit G state'!F51+'Exhibit G Federal'!F27</f>
        <v>5</v>
      </c>
      <c r="G52" s="265"/>
      <c r="H52" s="1400">
        <f>'Exhibit G state'!H51+'Exhibit G Federal'!H27</f>
        <v>4.5999999999999996</v>
      </c>
      <c r="I52" s="265"/>
      <c r="J52" s="1372">
        <f>'Exhibit G state'!J51+'Exhibit G Federal'!J27</f>
        <v>3.9000000000000004</v>
      </c>
      <c r="K52" s="265"/>
      <c r="L52" s="1372">
        <f>'Exhibit G state'!L51+'Exhibit G Federal'!L27</f>
        <v>-9.3000000000000007</v>
      </c>
      <c r="M52" s="265"/>
      <c r="N52" s="1372">
        <f>'Exhibit G state'!N51+'Exhibit G Federal'!N27</f>
        <v>1.8</v>
      </c>
      <c r="O52" s="265"/>
      <c r="P52" s="1372">
        <f>'Exhibit G state'!P51+'Exhibit G Federal'!P27</f>
        <v>2.1</v>
      </c>
      <c r="Q52" s="265"/>
      <c r="R52" s="278"/>
      <c r="S52" s="265"/>
      <c r="T52" s="278"/>
      <c r="U52" s="265"/>
      <c r="V52" s="278"/>
      <c r="W52" s="265"/>
      <c r="X52" s="278"/>
      <c r="Y52" s="265"/>
      <c r="Z52" s="523"/>
      <c r="AA52" s="265"/>
      <c r="AB52" s="254"/>
      <c r="AC52" s="265">
        <f t="shared" si="3"/>
        <v>12.1</v>
      </c>
      <c r="AD52" s="265"/>
      <c r="AE52" s="254"/>
      <c r="AF52" s="521">
        <f>+'Exhibit G state'!AH51+'Exhibit G Federal'!AH27</f>
        <v>29.5</v>
      </c>
      <c r="AG52" s="524"/>
      <c r="AH52" s="253"/>
      <c r="AI52" s="1214">
        <f t="shared" si="5"/>
        <v>-17.399999999999999</v>
      </c>
      <c r="AJ52" s="252"/>
      <c r="AK52" s="2040">
        <f t="shared" si="4"/>
        <v>-0.59</v>
      </c>
    </row>
    <row r="53" spans="1:37" ht="15" customHeight="1">
      <c r="A53" s="227"/>
      <c r="B53" s="1979" t="s">
        <v>1469</v>
      </c>
      <c r="C53" s="227"/>
      <c r="D53" s="1400">
        <f>'Exhibit G state'!D52+'Exhibit G Federal'!D28</f>
        <v>0</v>
      </c>
      <c r="E53" s="265"/>
      <c r="F53" s="1400">
        <f>'Exhibit G state'!F52+'Exhibit G Federal'!F28</f>
        <v>1.3</v>
      </c>
      <c r="G53" s="265"/>
      <c r="H53" s="1400">
        <f>'Exhibit G state'!H52+'Exhibit G Federal'!H28</f>
        <v>0.7</v>
      </c>
      <c r="I53" s="265"/>
      <c r="J53" s="1372">
        <f>'Exhibit G state'!J52+'Exhibit G Federal'!J28</f>
        <v>0.4</v>
      </c>
      <c r="K53" s="265"/>
      <c r="L53" s="1372">
        <f>'Exhibit G state'!L52+'Exhibit G Federal'!L28</f>
        <v>0</v>
      </c>
      <c r="M53" s="265"/>
      <c r="N53" s="1372">
        <f>'Exhibit G state'!N52+'Exhibit G Federal'!N28</f>
        <v>2.1</v>
      </c>
      <c r="O53" s="265"/>
      <c r="P53" s="1372">
        <f>'Exhibit G state'!P52+'Exhibit G Federal'!P28</f>
        <v>0.3</v>
      </c>
      <c r="Q53" s="265"/>
      <c r="R53" s="278"/>
      <c r="S53" s="265"/>
      <c r="T53" s="278"/>
      <c r="U53" s="265"/>
      <c r="V53" s="278"/>
      <c r="W53" s="265"/>
      <c r="X53" s="278"/>
      <c r="Y53" s="265"/>
      <c r="Z53" s="523"/>
      <c r="AA53" s="265"/>
      <c r="AB53" s="254"/>
      <c r="AC53" s="265">
        <f t="shared" si="3"/>
        <v>4.8</v>
      </c>
      <c r="AD53" s="265"/>
      <c r="AE53" s="254"/>
      <c r="AF53" s="521">
        <f>+'Exhibit G state'!AH52+'Exhibit G Federal'!AH28</f>
        <v>5.2</v>
      </c>
      <c r="AG53" s="524"/>
      <c r="AH53" s="253"/>
      <c r="AI53" s="1214">
        <f t="shared" si="5"/>
        <v>-0.4</v>
      </c>
      <c r="AJ53" s="252"/>
      <c r="AK53" s="2040">
        <f t="shared" si="4"/>
        <v>-7.6999999999999999E-2</v>
      </c>
    </row>
    <row r="54" spans="1:37" ht="15" customHeight="1">
      <c r="A54" s="227"/>
      <c r="B54" s="1979" t="s">
        <v>1470</v>
      </c>
      <c r="C54" s="227"/>
      <c r="D54" s="1400">
        <f>'Exhibit G state'!D53+'Exhibit G Federal'!D29</f>
        <v>36.4</v>
      </c>
      <c r="E54" s="265"/>
      <c r="F54" s="1400">
        <f>'Exhibit G state'!F53+'Exhibit G Federal'!F29</f>
        <v>44.8</v>
      </c>
      <c r="G54" s="265"/>
      <c r="H54" s="1400">
        <f>'Exhibit G state'!H53+'Exhibit G Federal'!H29</f>
        <v>39.6</v>
      </c>
      <c r="I54" s="265"/>
      <c r="J54" s="1372">
        <f>'Exhibit G state'!J53+'Exhibit G Federal'!J29</f>
        <v>40.000000000000014</v>
      </c>
      <c r="K54" s="265"/>
      <c r="L54" s="1372">
        <f>'Exhibit G state'!L53+'Exhibit G Federal'!L29</f>
        <v>41</v>
      </c>
      <c r="M54" s="265"/>
      <c r="N54" s="1372">
        <f>'Exhibit G state'!N53+'Exhibit G Federal'!N29</f>
        <v>42.9</v>
      </c>
      <c r="O54" s="265"/>
      <c r="P54" s="1372">
        <f>'Exhibit G state'!P53+'Exhibit G Federal'!P29</f>
        <v>27</v>
      </c>
      <c r="Q54" s="265"/>
      <c r="R54" s="278"/>
      <c r="S54" s="265"/>
      <c r="T54" s="278"/>
      <c r="U54" s="265"/>
      <c r="V54" s="278"/>
      <c r="W54" s="265"/>
      <c r="X54" s="278"/>
      <c r="Y54" s="265"/>
      <c r="Z54" s="523"/>
      <c r="AA54" s="265"/>
      <c r="AB54" s="254"/>
      <c r="AC54" s="265">
        <f t="shared" si="3"/>
        <v>271.7</v>
      </c>
      <c r="AD54" s="265"/>
      <c r="AE54" s="254"/>
      <c r="AF54" s="521">
        <f>+'Exhibit G state'!AH53+'Exhibit G Federal'!AH29</f>
        <v>308.39999999999998</v>
      </c>
      <c r="AG54" s="524"/>
      <c r="AH54" s="253"/>
      <c r="AI54" s="1214">
        <f t="shared" si="5"/>
        <v>-36.700000000000003</v>
      </c>
      <c r="AJ54" s="252"/>
      <c r="AK54" s="2040">
        <f t="shared" si="4"/>
        <v>-0.11899999999999999</v>
      </c>
    </row>
    <row r="55" spans="1:37" ht="15" customHeight="1">
      <c r="A55" s="227"/>
      <c r="B55" s="1979" t="s">
        <v>1471</v>
      </c>
      <c r="C55" s="227"/>
      <c r="D55" s="1400">
        <f>'Exhibit G state'!D54+'Exhibit G Federal'!D30</f>
        <v>12.4</v>
      </c>
      <c r="E55" s="265"/>
      <c r="F55" s="1400">
        <f>'Exhibit G state'!F54+'Exhibit G Federal'!F30</f>
        <v>18.399999999999999</v>
      </c>
      <c r="G55" s="265"/>
      <c r="H55" s="1400">
        <f>'Exhibit G state'!H54+'Exhibit G Federal'!H30</f>
        <v>23.400000000000002</v>
      </c>
      <c r="I55" s="265"/>
      <c r="J55" s="1372">
        <f>'Exhibit G state'!J54+'Exhibit G Federal'!J30</f>
        <v>30.5</v>
      </c>
      <c r="K55" s="265"/>
      <c r="L55" s="1372">
        <f>'Exhibit G state'!L54+'Exhibit G Federal'!L30</f>
        <v>20.7</v>
      </c>
      <c r="M55" s="265"/>
      <c r="N55" s="1372">
        <f>'Exhibit G state'!N54+'Exhibit G Federal'!N30</f>
        <v>17.7</v>
      </c>
      <c r="O55" s="265"/>
      <c r="P55" s="1372">
        <f>'Exhibit G state'!P54+'Exhibit G Federal'!P30</f>
        <v>30.9</v>
      </c>
      <c r="Q55" s="265"/>
      <c r="R55" s="278"/>
      <c r="S55" s="265"/>
      <c r="T55" s="278"/>
      <c r="U55" s="265"/>
      <c r="V55" s="278"/>
      <c r="W55" s="265"/>
      <c r="X55" s="278"/>
      <c r="Y55" s="265"/>
      <c r="Z55" s="523"/>
      <c r="AA55" s="265"/>
      <c r="AB55" s="254"/>
      <c r="AC55" s="265">
        <f t="shared" si="3"/>
        <v>154</v>
      </c>
      <c r="AD55" s="265"/>
      <c r="AE55" s="254"/>
      <c r="AF55" s="521">
        <f>+'Exhibit G state'!AH54+'Exhibit G Federal'!AH30</f>
        <v>121</v>
      </c>
      <c r="AG55" s="524"/>
      <c r="AH55" s="253"/>
      <c r="AI55" s="1214">
        <f t="shared" si="5"/>
        <v>33</v>
      </c>
      <c r="AJ55" s="252"/>
      <c r="AK55" s="2040">
        <f t="shared" si="4"/>
        <v>0.27300000000000002</v>
      </c>
    </row>
    <row r="56" spans="1:37" ht="15" customHeight="1">
      <c r="A56" s="227"/>
      <c r="B56" s="1979" t="s">
        <v>1429</v>
      </c>
      <c r="C56" s="227"/>
      <c r="D56" s="1400">
        <f>'Exhibit G state'!D55+'Exhibit G Federal'!D31</f>
        <v>-64.7</v>
      </c>
      <c r="E56" s="265"/>
      <c r="F56" s="1400">
        <f>'Exhibit G state'!F55+'Exhibit G Federal'!F31</f>
        <v>16.700000000000003</v>
      </c>
      <c r="G56" s="265"/>
      <c r="H56" s="1400">
        <f>'Exhibit G state'!H55+'Exhibit G Federal'!H31</f>
        <v>14.2</v>
      </c>
      <c r="I56" s="265"/>
      <c r="J56" s="1372">
        <f>'Exhibit G state'!J55+'Exhibit G Federal'!J31</f>
        <v>10.7</v>
      </c>
      <c r="K56" s="265"/>
      <c r="L56" s="1372">
        <f>'Exhibit G state'!L55+'Exhibit G Federal'!L31</f>
        <v>6.6000000000000005</v>
      </c>
      <c r="M56" s="265"/>
      <c r="N56" s="1372">
        <f>'Exhibit G state'!N55+'Exhibit G Federal'!N31</f>
        <v>19.299999999999997</v>
      </c>
      <c r="O56" s="265"/>
      <c r="P56" s="1372">
        <f>'Exhibit G state'!P55+'Exhibit G Federal'!P31</f>
        <v>14.5</v>
      </c>
      <c r="Q56" s="265"/>
      <c r="R56" s="278"/>
      <c r="S56" s="265"/>
      <c r="T56" s="278"/>
      <c r="U56" s="265"/>
      <c r="V56" s="278"/>
      <c r="W56" s="265"/>
      <c r="X56" s="278"/>
      <c r="Y56" s="265"/>
      <c r="Z56" s="523"/>
      <c r="AA56" s="265"/>
      <c r="AB56" s="254"/>
      <c r="AC56" s="265">
        <f t="shared" si="3"/>
        <v>17.3</v>
      </c>
      <c r="AD56" s="265"/>
      <c r="AE56" s="254"/>
      <c r="AF56" s="521">
        <f>+'Exhibit G state'!AH55+'Exhibit G Federal'!AH31</f>
        <v>99.7</v>
      </c>
      <c r="AG56" s="524"/>
      <c r="AH56" s="253"/>
      <c r="AI56" s="1214">
        <f t="shared" si="5"/>
        <v>-82.4</v>
      </c>
      <c r="AJ56" s="252"/>
      <c r="AK56" s="2040">
        <f t="shared" si="4"/>
        <v>-0.82599999999999996</v>
      </c>
    </row>
    <row r="57" spans="1:37" ht="15" customHeight="1">
      <c r="A57" s="227"/>
      <c r="B57" s="1979" t="s">
        <v>1564</v>
      </c>
      <c r="C57" s="227"/>
      <c r="D57" s="1400"/>
      <c r="E57" s="265"/>
      <c r="F57" s="1400"/>
      <c r="G57" s="265"/>
      <c r="H57" s="1400"/>
      <c r="I57" s="265"/>
      <c r="J57" s="1400"/>
      <c r="K57" s="265"/>
      <c r="L57" s="1400"/>
      <c r="M57" s="265"/>
      <c r="N57" s="1400"/>
      <c r="O57" s="265"/>
      <c r="P57" s="1372"/>
      <c r="Q57" s="265"/>
      <c r="R57" s="278"/>
      <c r="S57" s="265"/>
      <c r="T57" s="278"/>
      <c r="U57" s="265"/>
      <c r="V57" s="278"/>
      <c r="W57" s="265"/>
      <c r="X57" s="278"/>
      <c r="Y57" s="265"/>
      <c r="Z57" s="523"/>
      <c r="AA57" s="265"/>
      <c r="AB57" s="254"/>
      <c r="AC57" s="265"/>
      <c r="AD57" s="265"/>
      <c r="AE57" s="254"/>
      <c r="AF57" s="521"/>
      <c r="AG57" s="524"/>
      <c r="AH57" s="253"/>
      <c r="AI57" s="1214"/>
      <c r="AJ57" s="252"/>
      <c r="AK57" s="2201"/>
    </row>
    <row r="58" spans="1:37" ht="15" customHeight="1">
      <c r="A58" s="227"/>
      <c r="B58" s="1979" t="s">
        <v>1472</v>
      </c>
      <c r="C58" s="227"/>
      <c r="D58" s="1400">
        <f>'Exhibit G state'!D57</f>
        <v>4</v>
      </c>
      <c r="E58" s="265"/>
      <c r="F58" s="1400">
        <f>'Exhibit G state'!F57</f>
        <v>1.7</v>
      </c>
      <c r="G58" s="265"/>
      <c r="H58" s="1400">
        <f>'Exhibit G state'!H57</f>
        <v>0.5</v>
      </c>
      <c r="I58" s="265"/>
      <c r="J58" s="1400">
        <f>'Exhibit G state'!J57</f>
        <v>48.9</v>
      </c>
      <c r="K58" s="265"/>
      <c r="L58" s="1400">
        <f>'Exhibit G state'!L57</f>
        <v>0</v>
      </c>
      <c r="M58" s="265"/>
      <c r="N58" s="1400">
        <f>'Exhibit G state'!N57</f>
        <v>0.8</v>
      </c>
      <c r="O58" s="265"/>
      <c r="P58" s="1372">
        <f>'Exhibit G state'!P57</f>
        <v>51.2</v>
      </c>
      <c r="Q58" s="265"/>
      <c r="R58" s="278"/>
      <c r="S58" s="265"/>
      <c r="T58" s="278"/>
      <c r="U58" s="265"/>
      <c r="V58" s="278"/>
      <c r="W58" s="265"/>
      <c r="X58" s="278"/>
      <c r="Y58" s="265"/>
      <c r="Z58" s="523"/>
      <c r="AA58" s="265"/>
      <c r="AB58" s="254"/>
      <c r="AC58" s="265">
        <f t="shared" si="3"/>
        <v>107.1</v>
      </c>
      <c r="AD58" s="265"/>
      <c r="AE58" s="254"/>
      <c r="AF58" s="521">
        <f>+'Exhibit G state'!AH57</f>
        <v>452.1</v>
      </c>
      <c r="AG58" s="524"/>
      <c r="AH58" s="253"/>
      <c r="AI58" s="1214">
        <f>ROUND(SUM(+AC58-AF58),1)</f>
        <v>-345</v>
      </c>
      <c r="AJ58" s="252"/>
      <c r="AK58" s="2040">
        <f t="shared" si="4"/>
        <v>-0.76300000000000001</v>
      </c>
    </row>
    <row r="59" spans="1:37" ht="15" customHeight="1">
      <c r="A59" s="227"/>
      <c r="B59" s="1979" t="s">
        <v>1473</v>
      </c>
      <c r="C59" s="227"/>
      <c r="D59" s="1400">
        <f>'Exhibit G state'!D58</f>
        <v>220.6</v>
      </c>
      <c r="E59" s="265"/>
      <c r="F59" s="1400">
        <f>'Exhibit G state'!F58</f>
        <v>181.9</v>
      </c>
      <c r="G59" s="265"/>
      <c r="H59" s="1400">
        <f>'Exhibit G state'!H58</f>
        <v>172.5</v>
      </c>
      <c r="I59" s="265"/>
      <c r="J59" s="1400">
        <f>'Exhibit G state'!J58</f>
        <v>217.20000000000005</v>
      </c>
      <c r="K59" s="265"/>
      <c r="L59" s="1400">
        <f>'Exhibit G state'!L58</f>
        <v>173.4</v>
      </c>
      <c r="M59" s="265"/>
      <c r="N59" s="1400">
        <f>'Exhibit G state'!N58</f>
        <v>172.4</v>
      </c>
      <c r="O59" s="265"/>
      <c r="P59" s="1372">
        <f>'Exhibit G state'!P58</f>
        <v>218.6</v>
      </c>
      <c r="Q59" s="265"/>
      <c r="R59" s="278"/>
      <c r="S59" s="265"/>
      <c r="T59" s="278"/>
      <c r="U59" s="265"/>
      <c r="V59" s="278"/>
      <c r="W59" s="265"/>
      <c r="X59" s="278"/>
      <c r="Y59" s="265"/>
      <c r="Z59" s="523"/>
      <c r="AA59" s="265"/>
      <c r="AB59" s="254"/>
      <c r="AC59" s="265">
        <f t="shared" si="3"/>
        <v>1356.6</v>
      </c>
      <c r="AD59" s="265"/>
      <c r="AE59" s="254"/>
      <c r="AF59" s="521">
        <f>+'Exhibit G state'!AH58</f>
        <v>1415.7</v>
      </c>
      <c r="AG59" s="524"/>
      <c r="AH59" s="253"/>
      <c r="AI59" s="1214">
        <f>ROUND(SUM(+AC59-AF59),1)</f>
        <v>-59.1</v>
      </c>
      <c r="AJ59" s="252"/>
      <c r="AK59" s="2040">
        <f t="shared" si="4"/>
        <v>-4.2000000000000003E-2</v>
      </c>
    </row>
    <row r="60" spans="1:37" ht="15" customHeight="1">
      <c r="A60" s="227"/>
      <c r="B60" s="1979" t="s">
        <v>1474</v>
      </c>
      <c r="C60" s="227"/>
      <c r="D60" s="1400">
        <f>'Exhibit G state'!D59</f>
        <v>91.5</v>
      </c>
      <c r="E60" s="265"/>
      <c r="F60" s="1400">
        <f>'Exhibit G state'!F59</f>
        <v>71.7</v>
      </c>
      <c r="G60" s="265"/>
      <c r="H60" s="1400">
        <f>'Exhibit G state'!H59</f>
        <v>70.100000000000023</v>
      </c>
      <c r="I60" s="265"/>
      <c r="J60" s="1400">
        <f>'Exhibit G state'!J59</f>
        <v>87.300000000000011</v>
      </c>
      <c r="K60" s="265"/>
      <c r="L60" s="1400">
        <f>'Exhibit G state'!L59</f>
        <v>71.099999999999994</v>
      </c>
      <c r="M60" s="265"/>
      <c r="N60" s="1400">
        <f>'Exhibit G state'!N59</f>
        <v>71.3</v>
      </c>
      <c r="O60" s="265"/>
      <c r="P60" s="1372">
        <f>'Exhibit G state'!P59</f>
        <v>86.7</v>
      </c>
      <c r="Q60" s="265"/>
      <c r="R60" s="278"/>
      <c r="S60" s="265"/>
      <c r="T60" s="278"/>
      <c r="U60" s="265"/>
      <c r="V60" s="278"/>
      <c r="W60" s="265"/>
      <c r="X60" s="278"/>
      <c r="Y60" s="265"/>
      <c r="Z60" s="523"/>
      <c r="AA60" s="265"/>
      <c r="AB60" s="254"/>
      <c r="AC60" s="265">
        <f t="shared" si="3"/>
        <v>549.70000000000005</v>
      </c>
      <c r="AD60" s="265"/>
      <c r="AE60" s="254"/>
      <c r="AF60" s="521">
        <f>+'Exhibit G state'!AH59</f>
        <v>565.79999999999995</v>
      </c>
      <c r="AG60" s="524"/>
      <c r="AH60" s="253"/>
      <c r="AI60" s="1214">
        <f>ROUND(SUM(+AC60-AF60),1)</f>
        <v>-16.100000000000001</v>
      </c>
      <c r="AJ60" s="252"/>
      <c r="AK60" s="2040">
        <f t="shared" si="4"/>
        <v>-2.8000000000000001E-2</v>
      </c>
    </row>
    <row r="61" spans="1:37" ht="15" customHeight="1">
      <c r="A61" s="227"/>
      <c r="B61" s="1979" t="s">
        <v>1430</v>
      </c>
      <c r="C61" s="227"/>
      <c r="D61" s="1400">
        <f>'Exhibit G state'!D60+'Exhibit G Federal'!D32</f>
        <v>2.2999999999999998</v>
      </c>
      <c r="E61" s="265"/>
      <c r="F61" s="1400">
        <f>'Exhibit G state'!F60+'Exhibit G Federal'!F32</f>
        <v>2.5</v>
      </c>
      <c r="G61" s="265"/>
      <c r="H61" s="1400">
        <f>'Exhibit G state'!H60+'Exhibit G Federal'!H32</f>
        <v>2.2000000000000002</v>
      </c>
      <c r="I61" s="265"/>
      <c r="J61" s="1372">
        <f>'Exhibit G state'!J60+'Exhibit G Federal'!J32</f>
        <v>2.1</v>
      </c>
      <c r="K61" s="265"/>
      <c r="L61" s="1372">
        <f>'Exhibit G state'!L60+'Exhibit G Federal'!L32</f>
        <v>1.8</v>
      </c>
      <c r="M61" s="265"/>
      <c r="N61" s="1372">
        <f>'Exhibit G state'!N60+'Exhibit G Federal'!N32</f>
        <v>2.6</v>
      </c>
      <c r="O61" s="265"/>
      <c r="P61" s="1372">
        <f>'Exhibit G state'!P60+'Exhibit G Federal'!P32</f>
        <v>2.4</v>
      </c>
      <c r="Q61" s="265"/>
      <c r="R61" s="278"/>
      <c r="S61" s="265"/>
      <c r="T61" s="278"/>
      <c r="U61" s="265"/>
      <c r="V61" s="278"/>
      <c r="W61" s="265"/>
      <c r="X61" s="278"/>
      <c r="Y61" s="265"/>
      <c r="Z61" s="523"/>
      <c r="AA61" s="265"/>
      <c r="AB61" s="254"/>
      <c r="AC61" s="265">
        <f t="shared" si="3"/>
        <v>15.9</v>
      </c>
      <c r="AD61" s="265"/>
      <c r="AE61" s="254"/>
      <c r="AF61" s="521">
        <f>+'Exhibit G state'!AH60+'Exhibit G Federal'!AH32</f>
        <v>15.6</v>
      </c>
      <c r="AG61" s="524"/>
      <c r="AH61" s="253"/>
      <c r="AI61" s="1214">
        <f>ROUND(SUM(+AC61-AF61),1)</f>
        <v>0.3</v>
      </c>
      <c r="AJ61" s="252"/>
      <c r="AK61" s="2040">
        <f t="shared" si="4"/>
        <v>1.9E-2</v>
      </c>
    </row>
    <row r="62" spans="1:37" ht="15" customHeight="1">
      <c r="A62" s="227"/>
      <c r="B62" s="1979" t="s">
        <v>1565</v>
      </c>
      <c r="C62" s="227"/>
      <c r="D62" s="1400"/>
      <c r="E62" s="265"/>
      <c r="F62" s="1400"/>
      <c r="G62" s="265"/>
      <c r="H62" s="1400"/>
      <c r="I62" s="265"/>
      <c r="J62" s="1400"/>
      <c r="K62" s="265"/>
      <c r="L62" s="1400"/>
      <c r="M62" s="265"/>
      <c r="N62" s="1400"/>
      <c r="O62" s="265"/>
      <c r="P62" s="1372"/>
      <c r="Q62" s="265"/>
      <c r="R62" s="278"/>
      <c r="S62" s="265"/>
      <c r="T62" s="278"/>
      <c r="U62" s="265"/>
      <c r="V62" s="278"/>
      <c r="W62" s="265"/>
      <c r="X62" s="278"/>
      <c r="Y62" s="265"/>
      <c r="Z62" s="523"/>
      <c r="AA62" s="265"/>
      <c r="AB62" s="254"/>
      <c r="AC62" s="265"/>
      <c r="AD62" s="265"/>
      <c r="AE62" s="254"/>
      <c r="AF62" s="521"/>
      <c r="AG62" s="524"/>
      <c r="AH62" s="253"/>
      <c r="AI62" s="1214"/>
      <c r="AJ62" s="252"/>
      <c r="AK62" s="2201"/>
    </row>
    <row r="63" spans="1:37" ht="15" customHeight="1">
      <c r="A63" s="227"/>
      <c r="B63" s="1979" t="s">
        <v>1475</v>
      </c>
      <c r="C63" s="227"/>
      <c r="D63" s="1400">
        <f>'Exhibit G state'!D62+'Exhibit G Federal'!D34</f>
        <v>0</v>
      </c>
      <c r="E63" s="265"/>
      <c r="F63" s="1400">
        <f>'Exhibit G state'!F62+'Exhibit G Federal'!F34</f>
        <v>0</v>
      </c>
      <c r="G63" s="265"/>
      <c r="H63" s="1400">
        <f>'Exhibit G state'!H62+'Exhibit G Federal'!H34</f>
        <v>0</v>
      </c>
      <c r="I63" s="265"/>
      <c r="J63" s="1400">
        <f>'Exhibit G state'!J62+'Exhibit G Federal'!J34</f>
        <v>0</v>
      </c>
      <c r="K63" s="265"/>
      <c r="L63" s="1400">
        <f>'Exhibit G state'!L62+'Exhibit G Federal'!L34</f>
        <v>0</v>
      </c>
      <c r="M63" s="265"/>
      <c r="N63" s="1400">
        <f>'Exhibit G state'!N62+'Exhibit G Federal'!N34</f>
        <v>0</v>
      </c>
      <c r="O63" s="265"/>
      <c r="P63" s="1372">
        <f>'Exhibit G state'!P62+'Exhibit G Federal'!P34</f>
        <v>0</v>
      </c>
      <c r="Q63" s="265"/>
      <c r="R63" s="278"/>
      <c r="S63" s="265"/>
      <c r="T63" s="278"/>
      <c r="U63" s="265"/>
      <c r="V63" s="278"/>
      <c r="W63" s="265"/>
      <c r="X63" s="278"/>
      <c r="Y63" s="265"/>
      <c r="Z63" s="523"/>
      <c r="AA63" s="265"/>
      <c r="AB63" s="254"/>
      <c r="AC63" s="265">
        <f t="shared" si="3"/>
        <v>0</v>
      </c>
      <c r="AD63" s="265"/>
      <c r="AE63" s="254"/>
      <c r="AF63" s="521">
        <f>+'Exhibit G state'!AH62+'Exhibit G Federal'!AH34</f>
        <v>0</v>
      </c>
      <c r="AG63" s="524"/>
      <c r="AH63" s="253"/>
      <c r="AI63" s="1214">
        <f t="shared" ref="AI63:AI68" si="6">ROUND(SUM(+AC63-AF63),1)</f>
        <v>0</v>
      </c>
      <c r="AJ63" s="252"/>
      <c r="AK63" s="2040">
        <f t="shared" si="4"/>
        <v>0</v>
      </c>
    </row>
    <row r="64" spans="1:37" ht="15" customHeight="1">
      <c r="A64" s="227"/>
      <c r="B64" s="1979" t="s">
        <v>1476</v>
      </c>
      <c r="C64" s="227"/>
      <c r="D64" s="1400">
        <f>'Exhibit G state'!D63+'Exhibit G Federal'!D35</f>
        <v>0</v>
      </c>
      <c r="E64" s="265"/>
      <c r="F64" s="1400">
        <f>'Exhibit G state'!F63+'Exhibit G Federal'!F35</f>
        <v>20.399999999999999</v>
      </c>
      <c r="G64" s="265"/>
      <c r="H64" s="1400">
        <f>'Exhibit G state'!H63+'Exhibit G Federal'!H35</f>
        <v>0</v>
      </c>
      <c r="I64" s="265"/>
      <c r="J64" s="1372">
        <f>'Exhibit G state'!J63+'Exhibit G Federal'!J35</f>
        <v>0</v>
      </c>
      <c r="K64" s="265"/>
      <c r="L64" s="1372">
        <f>'Exhibit G state'!L63+'Exhibit G Federal'!L35</f>
        <v>0</v>
      </c>
      <c r="M64" s="265"/>
      <c r="N64" s="1372">
        <f>'Exhibit G state'!N63+'Exhibit G Federal'!N35</f>
        <v>0</v>
      </c>
      <c r="O64" s="265"/>
      <c r="P64" s="1372">
        <f>'Exhibit G state'!P63+'Exhibit G Federal'!P35</f>
        <v>0</v>
      </c>
      <c r="Q64" s="265"/>
      <c r="R64" s="278"/>
      <c r="S64" s="265"/>
      <c r="T64" s="278"/>
      <c r="U64" s="265"/>
      <c r="V64" s="278"/>
      <c r="W64" s="265"/>
      <c r="X64" s="278"/>
      <c r="Y64" s="265"/>
      <c r="Z64" s="523"/>
      <c r="AA64" s="265"/>
      <c r="AB64" s="254"/>
      <c r="AC64" s="265">
        <f t="shared" si="3"/>
        <v>20.399999999999999</v>
      </c>
      <c r="AD64" s="265"/>
      <c r="AE64" s="254"/>
      <c r="AF64" s="521">
        <f>+'Exhibit G state'!AH63+'Exhibit G Federal'!AH35</f>
        <v>20.399999999999999</v>
      </c>
      <c r="AG64" s="524"/>
      <c r="AH64" s="253"/>
      <c r="AI64" s="1214">
        <f t="shared" si="6"/>
        <v>0</v>
      </c>
      <c r="AJ64" s="252"/>
      <c r="AK64" s="2040">
        <f t="shared" si="4"/>
        <v>0</v>
      </c>
    </row>
    <row r="65" spans="1:37" ht="15" customHeight="1">
      <c r="A65" s="227"/>
      <c r="B65" s="1979" t="s">
        <v>1477</v>
      </c>
      <c r="C65" s="227"/>
      <c r="D65" s="1400">
        <f>'Exhibit G state'!D64+'Exhibit G Federal'!D36</f>
        <v>4.2</v>
      </c>
      <c r="E65" s="265"/>
      <c r="F65" s="1400">
        <f>'Exhibit G state'!F64+'Exhibit G Federal'!F36</f>
        <v>0.7</v>
      </c>
      <c r="G65" s="265"/>
      <c r="H65" s="1400">
        <f>'Exhibit G state'!H64+'Exhibit G Federal'!H36</f>
        <v>2.2999999999999998</v>
      </c>
      <c r="I65" s="265"/>
      <c r="J65" s="1372">
        <f>'Exhibit G state'!J64+'Exhibit G Federal'!J36</f>
        <v>0</v>
      </c>
      <c r="K65" s="265"/>
      <c r="L65" s="1372">
        <f>'Exhibit G state'!L64+'Exhibit G Federal'!L36</f>
        <v>0</v>
      </c>
      <c r="M65" s="265"/>
      <c r="N65" s="1372">
        <f>'Exhibit G state'!N64+'Exhibit G Federal'!N36</f>
        <v>0</v>
      </c>
      <c r="O65" s="265"/>
      <c r="P65" s="1372">
        <f>'Exhibit G state'!P64+'Exhibit G Federal'!P36</f>
        <v>0</v>
      </c>
      <c r="Q65" s="265"/>
      <c r="R65" s="278"/>
      <c r="S65" s="265"/>
      <c r="T65" s="278"/>
      <c r="U65" s="265"/>
      <c r="V65" s="278"/>
      <c r="W65" s="265"/>
      <c r="X65" s="278"/>
      <c r="Y65" s="265"/>
      <c r="Z65" s="523"/>
      <c r="AA65" s="265"/>
      <c r="AB65" s="254"/>
      <c r="AC65" s="265">
        <f t="shared" si="3"/>
        <v>7.2</v>
      </c>
      <c r="AD65" s="265"/>
      <c r="AE65" s="254"/>
      <c r="AF65" s="521">
        <f>+'Exhibit G state'!AH64+'Exhibit G Federal'!AH36</f>
        <v>7.2</v>
      </c>
      <c r="AG65" s="524"/>
      <c r="AH65" s="253"/>
      <c r="AI65" s="1214">
        <f t="shared" si="6"/>
        <v>0</v>
      </c>
      <c r="AJ65" s="252"/>
      <c r="AK65" s="2040">
        <f t="shared" si="4"/>
        <v>0</v>
      </c>
    </row>
    <row r="66" spans="1:37" ht="15" customHeight="1">
      <c r="A66" s="227"/>
      <c r="B66" s="1979" t="s">
        <v>1478</v>
      </c>
      <c r="C66" s="227"/>
      <c r="D66" s="1400">
        <f>'Exhibit G state'!D65+'Exhibit G Federal'!D37</f>
        <v>0.2</v>
      </c>
      <c r="E66" s="265"/>
      <c r="F66" s="1400">
        <f>'Exhibit G state'!F65+'Exhibit G Federal'!F37</f>
        <v>1.8</v>
      </c>
      <c r="G66" s="265"/>
      <c r="H66" s="1400">
        <f>'Exhibit G state'!H65+'Exhibit G Federal'!H37</f>
        <v>0.6</v>
      </c>
      <c r="I66" s="265"/>
      <c r="J66" s="1372">
        <f>'Exhibit G state'!J65+'Exhibit G Federal'!J37</f>
        <v>0.2</v>
      </c>
      <c r="K66" s="265"/>
      <c r="L66" s="1372">
        <f>'Exhibit G state'!L65+'Exhibit G Federal'!L37</f>
        <v>0.7</v>
      </c>
      <c r="M66" s="265"/>
      <c r="N66" s="1372">
        <f>'Exhibit G state'!N65+'Exhibit G Federal'!N37</f>
        <v>0.2</v>
      </c>
      <c r="O66" s="265"/>
      <c r="P66" s="1372">
        <f>'Exhibit G state'!P65+'Exhibit G Federal'!P37</f>
        <v>3.2</v>
      </c>
      <c r="Q66" s="265"/>
      <c r="R66" s="278"/>
      <c r="S66" s="265"/>
      <c r="T66" s="278"/>
      <c r="U66" s="265"/>
      <c r="V66" s="278"/>
      <c r="W66" s="265"/>
      <c r="X66" s="278"/>
      <c r="Y66" s="265"/>
      <c r="Z66" s="523"/>
      <c r="AA66" s="265"/>
      <c r="AB66" s="254"/>
      <c r="AC66" s="265">
        <f t="shared" si="3"/>
        <v>6.9</v>
      </c>
      <c r="AD66" s="265"/>
      <c r="AE66" s="254"/>
      <c r="AF66" s="521">
        <f>+'Exhibit G state'!AH65+'Exhibit G Federal'!AH37</f>
        <v>4.0999999999999996</v>
      </c>
      <c r="AG66" s="524"/>
      <c r="AH66" s="253"/>
      <c r="AI66" s="1214">
        <f t="shared" si="6"/>
        <v>2.8</v>
      </c>
      <c r="AJ66" s="252"/>
      <c r="AK66" s="2040">
        <f t="shared" si="4"/>
        <v>0.68300000000000005</v>
      </c>
    </row>
    <row r="67" spans="1:37" ht="15" customHeight="1">
      <c r="A67" s="227"/>
      <c r="B67" s="1979" t="s">
        <v>1448</v>
      </c>
      <c r="C67" s="227"/>
      <c r="D67" s="1400">
        <f>'Exhibit G state'!D66+'Exhibit G Federal'!D38</f>
        <v>32.6</v>
      </c>
      <c r="E67" s="265"/>
      <c r="F67" s="1400">
        <f>'Exhibit G state'!F66+'Exhibit G Federal'!F38</f>
        <v>5.3</v>
      </c>
      <c r="G67" s="265"/>
      <c r="H67" s="1400">
        <f>'Exhibit G state'!H66+'Exhibit G Federal'!H38</f>
        <v>8.7000000000000028</v>
      </c>
      <c r="I67" s="265"/>
      <c r="J67" s="1372">
        <f>'Exhibit G state'!J66+'Exhibit G Federal'!J38</f>
        <v>5.9</v>
      </c>
      <c r="K67" s="265"/>
      <c r="L67" s="1372">
        <f>'Exhibit G state'!L66+'Exhibit G Federal'!L38</f>
        <v>4.2</v>
      </c>
      <c r="M67" s="265"/>
      <c r="N67" s="1372">
        <f>'Exhibit G state'!N66+'Exhibit G Federal'!N38</f>
        <v>7.5</v>
      </c>
      <c r="O67" s="265"/>
      <c r="P67" s="1372">
        <f>'Exhibit G state'!P66+'Exhibit G Federal'!P38</f>
        <v>6.2</v>
      </c>
      <c r="Q67" s="265"/>
      <c r="R67" s="278"/>
      <c r="S67" s="265"/>
      <c r="T67" s="278"/>
      <c r="U67" s="265"/>
      <c r="V67" s="278"/>
      <c r="W67" s="265"/>
      <c r="X67" s="278"/>
      <c r="Y67" s="265"/>
      <c r="Z67" s="523"/>
      <c r="AA67" s="265"/>
      <c r="AB67" s="254"/>
      <c r="AC67" s="265">
        <f t="shared" si="3"/>
        <v>70.400000000000006</v>
      </c>
      <c r="AD67" s="265"/>
      <c r="AE67" s="254"/>
      <c r="AF67" s="521">
        <f>+'Exhibit G state'!AH66+'Exhibit G Federal'!AH38</f>
        <v>66.099999999999994</v>
      </c>
      <c r="AG67" s="524"/>
      <c r="AH67" s="253"/>
      <c r="AI67" s="1214">
        <f t="shared" si="6"/>
        <v>4.3</v>
      </c>
      <c r="AJ67" s="252"/>
      <c r="AK67" s="2040">
        <f t="shared" si="4"/>
        <v>6.5000000000000002E-2</v>
      </c>
    </row>
    <row r="68" spans="1:37" ht="15" customHeight="1">
      <c r="A68" s="227"/>
      <c r="B68" s="1979" t="s">
        <v>1449</v>
      </c>
      <c r="C68" s="227"/>
      <c r="D68" s="1400">
        <f>'Exhibit G state'!D67+'Exhibit G Federal'!D39</f>
        <v>27.1</v>
      </c>
      <c r="E68" s="265"/>
      <c r="F68" s="1400">
        <f>'Exhibit G state'!F67+'Exhibit G Federal'!F39</f>
        <v>33.700000000000003</v>
      </c>
      <c r="G68" s="265"/>
      <c r="H68" s="1400">
        <f>'Exhibit G state'!H67+'Exhibit G Federal'!H39</f>
        <v>28.5</v>
      </c>
      <c r="I68" s="265"/>
      <c r="J68" s="1372">
        <f>'Exhibit G state'!J67+'Exhibit G Federal'!J39</f>
        <v>23.5</v>
      </c>
      <c r="K68" s="265"/>
      <c r="L68" s="1372">
        <f>'Exhibit G state'!L67+'Exhibit G Federal'!L39</f>
        <v>7</v>
      </c>
      <c r="M68" s="265"/>
      <c r="N68" s="1372">
        <f>'Exhibit G state'!N67+'Exhibit G Federal'!N39</f>
        <v>1.4</v>
      </c>
      <c r="O68" s="265"/>
      <c r="P68" s="1372">
        <f>'Exhibit G state'!P67+'Exhibit G Federal'!P39</f>
        <v>-7.2</v>
      </c>
      <c r="Q68" s="265"/>
      <c r="R68" s="278"/>
      <c r="S68" s="265"/>
      <c r="T68" s="278"/>
      <c r="U68" s="265"/>
      <c r="V68" s="278"/>
      <c r="W68" s="265"/>
      <c r="X68" s="278"/>
      <c r="Y68" s="265"/>
      <c r="Z68" s="523"/>
      <c r="AA68" s="265"/>
      <c r="AB68" s="254"/>
      <c r="AC68" s="265">
        <f t="shared" si="3"/>
        <v>114</v>
      </c>
      <c r="AD68" s="265"/>
      <c r="AE68" s="254"/>
      <c r="AF68" s="521">
        <f>+'Exhibit G state'!AH67+'Exhibit G Federal'!AH39</f>
        <v>6.7</v>
      </c>
      <c r="AG68" s="524"/>
      <c r="AH68" s="253"/>
      <c r="AI68" s="1214">
        <f t="shared" si="6"/>
        <v>107.3</v>
      </c>
      <c r="AJ68" s="252"/>
      <c r="AK68" s="3193">
        <f t="shared" si="4"/>
        <v>16.015000000000001</v>
      </c>
    </row>
    <row r="69" spans="1:37" ht="15" customHeight="1">
      <c r="A69" s="227"/>
      <c r="B69" s="1979" t="s">
        <v>1566</v>
      </c>
      <c r="C69" s="227"/>
      <c r="D69" s="1400"/>
      <c r="E69" s="265"/>
      <c r="F69" s="1400"/>
      <c r="G69" s="265"/>
      <c r="H69" s="1400"/>
      <c r="I69" s="265"/>
      <c r="J69" s="1400"/>
      <c r="K69" s="265"/>
      <c r="L69" s="1400"/>
      <c r="M69" s="265"/>
      <c r="N69" s="1400"/>
      <c r="O69" s="265"/>
      <c r="P69" s="1372"/>
      <c r="Q69" s="265"/>
      <c r="R69" s="278"/>
      <c r="S69" s="265"/>
      <c r="T69" s="278"/>
      <c r="U69" s="265"/>
      <c r="V69" s="278"/>
      <c r="W69" s="265"/>
      <c r="X69" s="278"/>
      <c r="Y69" s="265"/>
      <c r="Z69" s="523"/>
      <c r="AA69" s="265"/>
      <c r="AB69" s="254"/>
      <c r="AC69" s="265"/>
      <c r="AD69" s="265"/>
      <c r="AE69" s="254"/>
      <c r="AF69" s="521"/>
      <c r="AG69" s="524"/>
      <c r="AH69" s="253"/>
      <c r="AI69" s="1214"/>
      <c r="AJ69" s="252"/>
      <c r="AK69" s="2201"/>
    </row>
    <row r="70" spans="1:37" ht="15" customHeight="1">
      <c r="A70" s="227"/>
      <c r="B70" s="1979" t="s">
        <v>1479</v>
      </c>
      <c r="C70" s="227"/>
      <c r="D70" s="1400">
        <f>'Exhibit G state'!D69+'Exhibit G Federal'!D41</f>
        <v>0.9</v>
      </c>
      <c r="E70" s="265"/>
      <c r="F70" s="1400">
        <f>'Exhibit G state'!F69+'Exhibit G Federal'!F41</f>
        <v>8.1</v>
      </c>
      <c r="G70" s="265"/>
      <c r="H70" s="1400">
        <f>'Exhibit G state'!H69+'Exhibit G Federal'!H41</f>
        <v>9.4</v>
      </c>
      <c r="I70" s="265"/>
      <c r="J70" s="1372">
        <f>'Exhibit G state'!J69+'Exhibit G Federal'!J41</f>
        <v>9.3000000000000007</v>
      </c>
      <c r="K70" s="265"/>
      <c r="L70" s="1372">
        <f>'Exhibit G state'!L69+'Exhibit G Federal'!L41</f>
        <v>8.4</v>
      </c>
      <c r="M70" s="265"/>
      <c r="N70" s="1372">
        <f>'Exhibit G state'!N69+'Exhibit G Federal'!N41</f>
        <v>8</v>
      </c>
      <c r="O70" s="265"/>
      <c r="P70" s="1372">
        <f>'Exhibit G state'!P69+'Exhibit G Federal'!P41</f>
        <v>8.6</v>
      </c>
      <c r="Q70" s="265"/>
      <c r="R70" s="278"/>
      <c r="S70" s="265"/>
      <c r="T70" s="278"/>
      <c r="U70" s="265"/>
      <c r="V70" s="278"/>
      <c r="W70" s="265"/>
      <c r="X70" s="278"/>
      <c r="Y70" s="265"/>
      <c r="Z70" s="523"/>
      <c r="AA70" s="265"/>
      <c r="AB70" s="254"/>
      <c r="AC70" s="265">
        <f t="shared" si="3"/>
        <v>52.7</v>
      </c>
      <c r="AD70" s="265"/>
      <c r="AE70" s="254"/>
      <c r="AF70" s="521">
        <f>+'Exhibit G state'!AH69+'Exhibit G Federal'!AH41</f>
        <v>53.800000000000004</v>
      </c>
      <c r="AG70" s="524"/>
      <c r="AH70" s="253"/>
      <c r="AI70" s="1214">
        <f t="shared" ref="AI70:AI80" si="7">ROUND(SUM(+AC70-AF70),1)</f>
        <v>-1.1000000000000001</v>
      </c>
      <c r="AJ70" s="252"/>
      <c r="AK70" s="2040">
        <f t="shared" si="4"/>
        <v>-0.02</v>
      </c>
    </row>
    <row r="71" spans="1:37" ht="15" customHeight="1">
      <c r="A71" s="227"/>
      <c r="B71" s="1979" t="s">
        <v>1480</v>
      </c>
      <c r="C71" s="227"/>
      <c r="D71" s="1400">
        <f>'Exhibit G state'!D70+'Exhibit G Federal'!D42</f>
        <v>0.2</v>
      </c>
      <c r="E71" s="265"/>
      <c r="F71" s="1400">
        <f>'Exhibit G state'!F70+'Exhibit G Federal'!F42</f>
        <v>4.3</v>
      </c>
      <c r="G71" s="265"/>
      <c r="H71" s="1400">
        <f>'Exhibit G state'!H70+'Exhibit G Federal'!H42</f>
        <v>0.2</v>
      </c>
      <c r="I71" s="265"/>
      <c r="J71" s="1372">
        <f>'Exhibit G state'!J70+'Exhibit G Federal'!J42</f>
        <v>0.1</v>
      </c>
      <c r="K71" s="265"/>
      <c r="L71" s="1372">
        <f>'Exhibit G state'!L70+'Exhibit G Federal'!L42</f>
        <v>0</v>
      </c>
      <c r="M71" s="265"/>
      <c r="N71" s="1372">
        <f>'Exhibit G state'!N70+'Exhibit G Federal'!N42</f>
        <v>0.5</v>
      </c>
      <c r="O71" s="265"/>
      <c r="P71" s="1372">
        <f>'Exhibit G state'!P70+'Exhibit G Federal'!P42</f>
        <v>0.3</v>
      </c>
      <c r="Q71" s="265"/>
      <c r="R71" s="278"/>
      <c r="S71" s="265"/>
      <c r="T71" s="278"/>
      <c r="U71" s="265"/>
      <c r="V71" s="278"/>
      <c r="W71" s="265"/>
      <c r="X71" s="278"/>
      <c r="Y71" s="265"/>
      <c r="Z71" s="523"/>
      <c r="AA71" s="265"/>
      <c r="AB71" s="254"/>
      <c r="AC71" s="265">
        <f t="shared" si="3"/>
        <v>5.6</v>
      </c>
      <c r="AD71" s="265"/>
      <c r="AE71" s="254"/>
      <c r="AF71" s="521">
        <f>+'Exhibit G state'!AH70+'Exhibit G Federal'!AH42</f>
        <v>3.8</v>
      </c>
      <c r="AG71" s="524"/>
      <c r="AH71" s="253"/>
      <c r="AI71" s="1214">
        <f t="shared" si="7"/>
        <v>1.8</v>
      </c>
      <c r="AJ71" s="252"/>
      <c r="AK71" s="2040">
        <f t="shared" si="4"/>
        <v>0.47399999999999998</v>
      </c>
    </row>
    <row r="72" spans="1:37" ht="15" customHeight="1">
      <c r="A72" s="227"/>
      <c r="B72" s="1979" t="s">
        <v>1481</v>
      </c>
      <c r="C72" s="227"/>
      <c r="D72" s="1400">
        <f>'Exhibit G state'!D71+'Exhibit G Federal'!D43</f>
        <v>0.79999999999999993</v>
      </c>
      <c r="E72" s="265"/>
      <c r="F72" s="1400">
        <f>'Exhibit G state'!F71+'Exhibit G Federal'!F43</f>
        <v>0.4</v>
      </c>
      <c r="G72" s="265"/>
      <c r="H72" s="1400">
        <f>'Exhibit G state'!H71+'Exhibit G Federal'!H43</f>
        <v>0.2</v>
      </c>
      <c r="I72" s="265"/>
      <c r="J72" s="1372">
        <f>'Exhibit G state'!J71+'Exhibit G Federal'!J43</f>
        <v>0.2</v>
      </c>
      <c r="K72" s="265"/>
      <c r="L72" s="1372">
        <f>'Exhibit G state'!L71+'Exhibit G Federal'!L43</f>
        <v>0.5</v>
      </c>
      <c r="M72" s="265"/>
      <c r="N72" s="1372">
        <f>'Exhibit G state'!N71+'Exhibit G Federal'!N43</f>
        <v>0</v>
      </c>
      <c r="O72" s="265"/>
      <c r="P72" s="1372">
        <f>'Exhibit G state'!P71+'Exhibit G Federal'!P43</f>
        <v>0.5</v>
      </c>
      <c r="Q72" s="265"/>
      <c r="R72" s="278"/>
      <c r="S72" s="265"/>
      <c r="T72" s="278"/>
      <c r="U72" s="265"/>
      <c r="V72" s="278"/>
      <c r="W72" s="265"/>
      <c r="X72" s="278"/>
      <c r="Y72" s="265"/>
      <c r="Z72" s="523"/>
      <c r="AA72" s="265"/>
      <c r="AB72" s="254"/>
      <c r="AC72" s="265">
        <f t="shared" si="3"/>
        <v>2.6</v>
      </c>
      <c r="AD72" s="265"/>
      <c r="AE72" s="254"/>
      <c r="AF72" s="521">
        <f>+'Exhibit G state'!AH71+'Exhibit G Federal'!AH43</f>
        <v>4.2</v>
      </c>
      <c r="AG72" s="524"/>
      <c r="AH72" s="253"/>
      <c r="AI72" s="1214">
        <f t="shared" si="7"/>
        <v>-1.6</v>
      </c>
      <c r="AJ72" s="252"/>
      <c r="AK72" s="2040">
        <f t="shared" si="4"/>
        <v>-0.38100000000000001</v>
      </c>
    </row>
    <row r="73" spans="1:37" ht="15" customHeight="1">
      <c r="A73" s="227"/>
      <c r="B73" s="1979" t="s">
        <v>1482</v>
      </c>
      <c r="C73" s="227"/>
      <c r="D73" s="1400">
        <v>0</v>
      </c>
      <c r="E73" s="265"/>
      <c r="F73" s="1400">
        <v>0</v>
      </c>
      <c r="G73" s="265"/>
      <c r="H73" s="1400">
        <v>0</v>
      </c>
      <c r="I73" s="265"/>
      <c r="J73" s="1372">
        <v>0</v>
      </c>
      <c r="K73" s="265"/>
      <c r="L73" s="1372">
        <v>0</v>
      </c>
      <c r="M73" s="265"/>
      <c r="N73" s="1372">
        <v>0</v>
      </c>
      <c r="O73" s="265"/>
      <c r="P73" s="1372">
        <v>0</v>
      </c>
      <c r="Q73" s="265"/>
      <c r="R73" s="278"/>
      <c r="S73" s="265"/>
      <c r="T73" s="278"/>
      <c r="U73" s="265"/>
      <c r="V73" s="278"/>
      <c r="W73" s="265"/>
      <c r="X73" s="278"/>
      <c r="Y73" s="265"/>
      <c r="Z73" s="523"/>
      <c r="AA73" s="265"/>
      <c r="AB73" s="254"/>
      <c r="AC73" s="265">
        <f t="shared" si="3"/>
        <v>0</v>
      </c>
      <c r="AD73" s="265"/>
      <c r="AE73" s="254"/>
      <c r="AF73" s="521">
        <f>+'Exhibit G state'!AH72+'Exhibit G Federal'!AH44</f>
        <v>0</v>
      </c>
      <c r="AG73" s="524"/>
      <c r="AH73" s="253"/>
      <c r="AI73" s="1214">
        <f t="shared" si="7"/>
        <v>0</v>
      </c>
      <c r="AJ73" s="252"/>
      <c r="AK73" s="2040">
        <f t="shared" si="4"/>
        <v>0</v>
      </c>
    </row>
    <row r="74" spans="1:37" ht="15" customHeight="1">
      <c r="A74" s="227"/>
      <c r="B74" s="1979" t="s">
        <v>1483</v>
      </c>
      <c r="C74" s="227"/>
      <c r="D74" s="1400">
        <f>'Exhibit G state'!D73+'Exhibit G Federal'!D45</f>
        <v>158.6</v>
      </c>
      <c r="E74" s="265"/>
      <c r="F74" s="1400">
        <f>'Exhibit G state'!F73+'Exhibit G Federal'!F45</f>
        <v>212.4</v>
      </c>
      <c r="G74" s="265"/>
      <c r="H74" s="1400">
        <f>'Exhibit G state'!H73+'Exhibit G Federal'!H45</f>
        <v>138.10000000000002</v>
      </c>
      <c r="I74" s="265"/>
      <c r="J74" s="1372">
        <f>'Exhibit G state'!J73+'Exhibit G Federal'!J45</f>
        <v>172.19999999999993</v>
      </c>
      <c r="K74" s="265"/>
      <c r="L74" s="1372">
        <f>'Exhibit G state'!L73+'Exhibit G Federal'!L45</f>
        <v>143.30000000000001</v>
      </c>
      <c r="M74" s="265"/>
      <c r="N74" s="1372">
        <f>'Exhibit G state'!N73+'Exhibit G Federal'!N45</f>
        <v>72</v>
      </c>
      <c r="O74" s="265"/>
      <c r="P74" s="1372">
        <f>'Exhibit G state'!P73+'Exhibit G Federal'!P45</f>
        <v>257.7</v>
      </c>
      <c r="Q74" s="265"/>
      <c r="R74" s="278"/>
      <c r="S74" s="265"/>
      <c r="T74" s="278"/>
      <c r="U74" s="265"/>
      <c r="V74" s="278"/>
      <c r="W74" s="265"/>
      <c r="X74" s="278"/>
      <c r="Y74" s="265"/>
      <c r="Z74" s="523"/>
      <c r="AA74" s="265"/>
      <c r="AB74" s="254"/>
      <c r="AC74" s="265">
        <f t="shared" si="3"/>
        <v>1154.3</v>
      </c>
      <c r="AD74" s="265"/>
      <c r="AE74" s="254"/>
      <c r="AF74" s="521">
        <f>+'Exhibit G state'!AH73+'Exhibit G Federal'!AH45</f>
        <v>1262.4000000000001</v>
      </c>
      <c r="AG74" s="524"/>
      <c r="AH74" s="253"/>
      <c r="AI74" s="1214">
        <f t="shared" si="7"/>
        <v>-108.1</v>
      </c>
      <c r="AJ74" s="252"/>
      <c r="AK74" s="2040">
        <f t="shared" si="4"/>
        <v>-8.5999999999999993E-2</v>
      </c>
    </row>
    <row r="75" spans="1:37" ht="15" customHeight="1">
      <c r="A75" s="227"/>
      <c r="B75" s="1979" t="s">
        <v>1484</v>
      </c>
      <c r="C75" s="227"/>
      <c r="D75" s="1400">
        <f>'Exhibit G state'!D74+'Exhibit G Federal'!D46</f>
        <v>9.2999999999999989</v>
      </c>
      <c r="E75" s="265"/>
      <c r="F75" s="1400">
        <f>'Exhibit G state'!F74+'Exhibit G Federal'!F46</f>
        <v>9.1</v>
      </c>
      <c r="G75" s="265"/>
      <c r="H75" s="1400">
        <f>'Exhibit G state'!H74+'Exhibit G Federal'!H46</f>
        <v>9.7999999999999989</v>
      </c>
      <c r="I75" s="265"/>
      <c r="J75" s="1372">
        <f>'Exhibit G state'!J74+'Exhibit G Federal'!J46</f>
        <v>26.299999999999997</v>
      </c>
      <c r="K75" s="265"/>
      <c r="L75" s="1372">
        <f>'Exhibit G state'!L74+'Exhibit G Federal'!L46</f>
        <v>9.1999999999999993</v>
      </c>
      <c r="M75" s="265"/>
      <c r="N75" s="1372">
        <f>'Exhibit G state'!N74+'Exhibit G Federal'!N46</f>
        <v>10.5</v>
      </c>
      <c r="O75" s="265"/>
      <c r="P75" s="1372">
        <f>'Exhibit G state'!P74+'Exhibit G Federal'!P46</f>
        <v>12.2</v>
      </c>
      <c r="Q75" s="265"/>
      <c r="R75" s="278"/>
      <c r="S75" s="265"/>
      <c r="T75" s="278"/>
      <c r="U75" s="265"/>
      <c r="V75" s="278"/>
      <c r="W75" s="265"/>
      <c r="X75" s="278"/>
      <c r="Y75" s="265"/>
      <c r="Z75" s="523"/>
      <c r="AA75" s="265"/>
      <c r="AB75" s="254"/>
      <c r="AC75" s="265">
        <f t="shared" si="3"/>
        <v>86.4</v>
      </c>
      <c r="AD75" s="265"/>
      <c r="AE75" s="254"/>
      <c r="AF75" s="521">
        <f>+'Exhibit G state'!AH74+'Exhibit G Federal'!AH46</f>
        <v>66.3</v>
      </c>
      <c r="AG75" s="524"/>
      <c r="AH75" s="253"/>
      <c r="AI75" s="1214">
        <f t="shared" si="7"/>
        <v>20.100000000000001</v>
      </c>
      <c r="AJ75" s="252"/>
      <c r="AK75" s="2040">
        <f t="shared" si="4"/>
        <v>0.30299999999999999</v>
      </c>
    </row>
    <row r="76" spans="1:37" ht="15" customHeight="1">
      <c r="A76" s="227"/>
      <c r="B76" s="1979" t="s">
        <v>1485</v>
      </c>
      <c r="C76" s="227"/>
      <c r="D76" s="1400">
        <f>'Exhibit G state'!D75+'Exhibit G Federal'!D47</f>
        <v>9.6</v>
      </c>
      <c r="E76" s="265"/>
      <c r="F76" s="1400">
        <f>'Exhibit G state'!F75+'Exhibit G Federal'!F47</f>
        <v>8.5</v>
      </c>
      <c r="G76" s="265"/>
      <c r="H76" s="1400">
        <f>'Exhibit G state'!H75+'Exhibit G Federal'!H47</f>
        <v>-4.5</v>
      </c>
      <c r="I76" s="265"/>
      <c r="J76" s="1400">
        <f>'Exhibit G state'!J75+'Exhibit G Federal'!J47</f>
        <v>-13.6</v>
      </c>
      <c r="K76" s="265"/>
      <c r="L76" s="1400">
        <f>'Exhibit G state'!L75+'Exhibit G Federal'!L47</f>
        <v>-13.8</v>
      </c>
      <c r="M76" s="265"/>
      <c r="N76" s="1400">
        <f>'Exhibit G state'!N75+'Exhibit G Federal'!N47</f>
        <v>-10.6</v>
      </c>
      <c r="O76" s="265"/>
      <c r="P76" s="1372">
        <f>'Exhibit G state'!P75+'Exhibit G Federal'!P47</f>
        <v>1.5</v>
      </c>
      <c r="Q76" s="265"/>
      <c r="R76" s="278"/>
      <c r="S76" s="265"/>
      <c r="T76" s="278"/>
      <c r="U76" s="265"/>
      <c r="V76" s="278"/>
      <c r="W76" s="265"/>
      <c r="X76" s="278"/>
      <c r="Y76" s="265"/>
      <c r="Z76" s="523"/>
      <c r="AA76" s="265"/>
      <c r="AB76" s="254"/>
      <c r="AC76" s="265">
        <f t="shared" si="3"/>
        <v>-22.9</v>
      </c>
      <c r="AD76" s="265"/>
      <c r="AE76" s="254"/>
      <c r="AF76" s="521">
        <f>+'Exhibit G state'!AH75+'Exhibit G Federal'!AH47</f>
        <v>11</v>
      </c>
      <c r="AG76" s="524"/>
      <c r="AH76" s="253"/>
      <c r="AI76" s="1214">
        <f t="shared" si="7"/>
        <v>-33.9</v>
      </c>
      <c r="AJ76" s="252"/>
      <c r="AK76" s="3193">
        <f t="shared" si="4"/>
        <v>-3.0819999999999999</v>
      </c>
    </row>
    <row r="77" spans="1:37" ht="15" customHeight="1">
      <c r="A77" s="227"/>
      <c r="B77" s="1979" t="s">
        <v>1486</v>
      </c>
      <c r="C77" s="227"/>
      <c r="D77" s="1400">
        <f>'Exhibit G state'!D76+'Exhibit G Federal'!D48</f>
        <v>6.2</v>
      </c>
      <c r="E77" s="265"/>
      <c r="F77" s="1400">
        <f>'Exhibit G state'!F76+'Exhibit G Federal'!F48</f>
        <v>4.5</v>
      </c>
      <c r="G77" s="265"/>
      <c r="H77" s="1400">
        <f>'Exhibit G state'!H76+'Exhibit G Federal'!H48</f>
        <v>13.5</v>
      </c>
      <c r="I77" s="265"/>
      <c r="J77" s="1372">
        <f>'Exhibit G state'!J76+'Exhibit G Federal'!J48</f>
        <v>7.1000000000000014</v>
      </c>
      <c r="K77" s="265"/>
      <c r="L77" s="1372">
        <f>'Exhibit G state'!L76+'Exhibit G Federal'!L48</f>
        <v>12.2</v>
      </c>
      <c r="M77" s="265"/>
      <c r="N77" s="1372">
        <f>'Exhibit G state'!N76+'Exhibit G Federal'!N48</f>
        <v>7.1</v>
      </c>
      <c r="O77" s="265"/>
      <c r="P77" s="1372">
        <f>'Exhibit G state'!P76+'Exhibit G Federal'!P48</f>
        <v>2.6</v>
      </c>
      <c r="Q77" s="265"/>
      <c r="R77" s="278"/>
      <c r="S77" s="265"/>
      <c r="T77" s="278"/>
      <c r="U77" s="265"/>
      <c r="V77" s="278"/>
      <c r="W77" s="265"/>
      <c r="X77" s="278"/>
      <c r="Y77" s="265"/>
      <c r="Z77" s="523"/>
      <c r="AA77" s="265"/>
      <c r="AB77" s="254"/>
      <c r="AC77" s="265">
        <f t="shared" si="3"/>
        <v>53.2</v>
      </c>
      <c r="AD77" s="265"/>
      <c r="AE77" s="254"/>
      <c r="AF77" s="521">
        <f>+'Exhibit G state'!AH76+'Exhibit G Federal'!AH48</f>
        <v>14.7</v>
      </c>
      <c r="AG77" s="524"/>
      <c r="AH77" s="253"/>
      <c r="AI77" s="1214">
        <f t="shared" si="7"/>
        <v>38.5</v>
      </c>
      <c r="AJ77" s="252"/>
      <c r="AK77" s="2040">
        <f t="shared" si="4"/>
        <v>2.6190000000000002</v>
      </c>
    </row>
    <row r="78" spans="1:37" ht="15" customHeight="1">
      <c r="A78" s="227"/>
      <c r="B78" s="1979" t="s">
        <v>1487</v>
      </c>
      <c r="C78" s="227"/>
      <c r="D78" s="1400">
        <f>'Exhibit G state'!D77+'Exhibit G Federal'!D49</f>
        <v>2.4</v>
      </c>
      <c r="E78" s="265"/>
      <c r="F78" s="1400">
        <f>'Exhibit G state'!F77+'Exhibit G Federal'!F49</f>
        <v>5.0999999999999996</v>
      </c>
      <c r="G78" s="265"/>
      <c r="H78" s="1400">
        <f>'Exhibit G state'!H77+'Exhibit G Federal'!H49</f>
        <v>1.6</v>
      </c>
      <c r="I78" s="265"/>
      <c r="J78" s="1372">
        <f>'Exhibit G state'!J77+'Exhibit G Federal'!J49</f>
        <v>3.5</v>
      </c>
      <c r="K78" s="265"/>
      <c r="L78" s="1372">
        <f>'Exhibit G state'!L77+'Exhibit G Federal'!L49</f>
        <v>1.8</v>
      </c>
      <c r="M78" s="265"/>
      <c r="N78" s="1372">
        <f>'Exhibit G state'!N77+'Exhibit G Federal'!N49</f>
        <v>5.2</v>
      </c>
      <c r="O78" s="265"/>
      <c r="P78" s="1372">
        <f>'Exhibit G state'!P77+'Exhibit G Federal'!P49</f>
        <v>2.1999999999999997</v>
      </c>
      <c r="Q78" s="265"/>
      <c r="R78" s="278"/>
      <c r="S78" s="265"/>
      <c r="T78" s="278"/>
      <c r="U78" s="265"/>
      <c r="V78" s="278"/>
      <c r="W78" s="265"/>
      <c r="X78" s="278"/>
      <c r="Y78" s="265"/>
      <c r="Z78" s="523"/>
      <c r="AA78" s="265"/>
      <c r="AB78" s="254"/>
      <c r="AC78" s="265">
        <f t="shared" si="3"/>
        <v>21.8</v>
      </c>
      <c r="AD78" s="265"/>
      <c r="AE78" s="254"/>
      <c r="AF78" s="521">
        <f>+'Exhibit G state'!AH77+'Exhibit G Federal'!AH49</f>
        <v>99</v>
      </c>
      <c r="AG78" s="524"/>
      <c r="AH78" s="253"/>
      <c r="AI78" s="1214">
        <f t="shared" si="7"/>
        <v>-77.2</v>
      </c>
      <c r="AJ78" s="252"/>
      <c r="AK78" s="2040">
        <f t="shared" si="4"/>
        <v>-0.78</v>
      </c>
    </row>
    <row r="79" spans="1:37" ht="15" customHeight="1">
      <c r="A79" s="227"/>
      <c r="B79" s="1979" t="s">
        <v>1459</v>
      </c>
      <c r="C79" s="227"/>
      <c r="D79" s="1400">
        <f>'Exhibit G state'!D78+'Exhibit G Federal'!D50</f>
        <v>5.0999999999999996</v>
      </c>
      <c r="E79" s="265"/>
      <c r="F79" s="1400">
        <f>'Exhibit G state'!F78+'Exhibit G Federal'!F50</f>
        <v>-3.1</v>
      </c>
      <c r="G79" s="265"/>
      <c r="H79" s="1400">
        <f>'Exhibit G state'!H78+'Exhibit G Federal'!H50</f>
        <v>1.3</v>
      </c>
      <c r="I79" s="265"/>
      <c r="J79" s="1372">
        <f>'Exhibit G state'!J78+'Exhibit G Federal'!J50</f>
        <v>1.6</v>
      </c>
      <c r="K79" s="265"/>
      <c r="L79" s="1372">
        <f>'Exhibit G state'!L78+'Exhibit G Federal'!L50</f>
        <v>1</v>
      </c>
      <c r="M79" s="265"/>
      <c r="N79" s="1372">
        <f>'Exhibit G state'!N78+'Exhibit G Federal'!N50</f>
        <v>2.8</v>
      </c>
      <c r="O79" s="265"/>
      <c r="P79" s="1372">
        <f>'Exhibit G state'!P78+'Exhibit G Federal'!P50</f>
        <v>1.5</v>
      </c>
      <c r="Q79" s="265"/>
      <c r="R79" s="278"/>
      <c r="S79" s="265"/>
      <c r="T79" s="278"/>
      <c r="U79" s="265"/>
      <c r="V79" s="278"/>
      <c r="W79" s="265"/>
      <c r="X79" s="278"/>
      <c r="Y79" s="265"/>
      <c r="Z79" s="523"/>
      <c r="AA79" s="265"/>
      <c r="AB79" s="254"/>
      <c r="AC79" s="265">
        <f t="shared" si="3"/>
        <v>10.199999999999999</v>
      </c>
      <c r="AD79" s="265"/>
      <c r="AE79" s="254"/>
      <c r="AF79" s="521">
        <f>+'Exhibit G state'!AH78+'Exhibit G Federal'!AH50</f>
        <v>13.2</v>
      </c>
      <c r="AG79" s="524"/>
      <c r="AH79" s="253"/>
      <c r="AI79" s="1214">
        <f t="shared" si="7"/>
        <v>-3</v>
      </c>
      <c r="AJ79" s="252"/>
      <c r="AK79" s="2040">
        <f t="shared" si="4"/>
        <v>-0.22700000000000001</v>
      </c>
    </row>
    <row r="80" spans="1:37" ht="15" customHeight="1">
      <c r="A80" s="227"/>
      <c r="B80" s="1979" t="s">
        <v>1460</v>
      </c>
      <c r="C80" s="227"/>
      <c r="D80" s="1400">
        <f>'Exhibit G state'!D79+'Exhibit G Federal'!D51</f>
        <v>72</v>
      </c>
      <c r="E80" s="265"/>
      <c r="F80" s="1400">
        <f>'Exhibit G state'!F79+'Exhibit G Federal'!F51</f>
        <v>72.8</v>
      </c>
      <c r="G80" s="265"/>
      <c r="H80" s="1400">
        <f>'Exhibit G state'!H79+'Exhibit G Federal'!H51</f>
        <v>111.59999999999997</v>
      </c>
      <c r="I80" s="265"/>
      <c r="J80" s="1372">
        <f>'Exhibit G state'!J79+'Exhibit G Federal'!J51</f>
        <v>105</v>
      </c>
      <c r="K80" s="265"/>
      <c r="L80" s="1372">
        <f>'Exhibit G state'!L79+'Exhibit G Federal'!L51</f>
        <v>222.5</v>
      </c>
      <c r="M80" s="265"/>
      <c r="N80" s="1372">
        <f>'Exhibit G state'!N79+'Exhibit G Federal'!N51</f>
        <v>424.7</v>
      </c>
      <c r="O80" s="265"/>
      <c r="P80" s="1372">
        <f>'Exhibit G state'!P79+'Exhibit G Federal'!P51</f>
        <v>201.9</v>
      </c>
      <c r="Q80" s="265"/>
      <c r="R80" s="278"/>
      <c r="S80" s="265"/>
      <c r="T80" s="278"/>
      <c r="U80" s="265"/>
      <c r="V80" s="278"/>
      <c r="W80" s="265"/>
      <c r="X80" s="278"/>
      <c r="Y80" s="265"/>
      <c r="Z80" s="523"/>
      <c r="AA80" s="265"/>
      <c r="AB80" s="254"/>
      <c r="AC80" s="265">
        <f t="shared" si="3"/>
        <v>1210.5</v>
      </c>
      <c r="AD80" s="265"/>
      <c r="AE80" s="254"/>
      <c r="AF80" s="521">
        <f>+'Exhibit G state'!AH79+'Exhibit G Federal'!AH51</f>
        <v>1133.9000000000001</v>
      </c>
      <c r="AG80" s="524"/>
      <c r="AH80" s="253"/>
      <c r="AI80" s="1214">
        <f t="shared" si="7"/>
        <v>76.599999999999994</v>
      </c>
      <c r="AJ80" s="252"/>
      <c r="AK80" s="2040">
        <f t="shared" si="4"/>
        <v>6.8000000000000005E-2</v>
      </c>
    </row>
    <row r="81" spans="1:44" s="417" customFormat="1" ht="15" customHeight="1">
      <c r="A81" s="225"/>
      <c r="B81" s="594" t="s">
        <v>1497</v>
      </c>
      <c r="C81" s="225"/>
      <c r="D81" s="489">
        <f>ROUND(SUM(D44:D80),1)</f>
        <v>1159.5</v>
      </c>
      <c r="E81" s="2372"/>
      <c r="F81" s="489">
        <f>ROUND(SUM(F44:F80),1)</f>
        <v>1265.4000000000001</v>
      </c>
      <c r="G81" s="2372"/>
      <c r="H81" s="489">
        <f>ROUND(SUM(H44:H80),1)</f>
        <v>1259.3</v>
      </c>
      <c r="I81" s="2154"/>
      <c r="J81" s="489">
        <f>ROUND(SUM(J44:J80),1)</f>
        <v>1315.9</v>
      </c>
      <c r="K81" s="2154"/>
      <c r="L81" s="489">
        <f>ROUND(SUM(L44:L80),1)</f>
        <v>1304.7</v>
      </c>
      <c r="M81" s="2154"/>
      <c r="N81" s="489">
        <f>ROUND(SUM(N44:N80),1)</f>
        <v>1709.4</v>
      </c>
      <c r="O81" s="2154"/>
      <c r="P81" s="489">
        <f>ROUND(SUM(P44:P80),1)</f>
        <v>1485.5</v>
      </c>
      <c r="Q81" s="2154"/>
      <c r="R81" s="489">
        <f>ROUND(SUM(R44:R80),1)</f>
        <v>0</v>
      </c>
      <c r="S81" s="2154"/>
      <c r="T81" s="489">
        <f>ROUND(SUM(T44:T80),1)</f>
        <v>0</v>
      </c>
      <c r="U81" s="2154"/>
      <c r="V81" s="489">
        <f>ROUND(SUM(V44:V80),1)</f>
        <v>0</v>
      </c>
      <c r="W81" s="2154"/>
      <c r="X81" s="489">
        <f>ROUND(SUM(X44:X80),1)</f>
        <v>0</v>
      </c>
      <c r="Y81" s="2154"/>
      <c r="Z81" s="489">
        <f>ROUND(SUM(Z44:Z80),1)</f>
        <v>0</v>
      </c>
      <c r="AA81" s="2154"/>
      <c r="AB81" s="263"/>
      <c r="AC81" s="489">
        <f>ROUND(SUM(AC44:AC80),1)</f>
        <v>9499.7000000000007</v>
      </c>
      <c r="AD81" s="2154"/>
      <c r="AE81" s="263"/>
      <c r="AF81" s="489">
        <f>ROUND(SUM(AF44:AF80),1)</f>
        <v>9893.2999999999993</v>
      </c>
      <c r="AG81" s="527"/>
      <c r="AH81" s="277"/>
      <c r="AI81" s="489">
        <f>ROUND(SUM(AI44:AI80),1)</f>
        <v>-393.6</v>
      </c>
      <c r="AJ81" s="1037"/>
      <c r="AK81" s="2373">
        <f>ROUND(SUM(+AI81/AF81),3)</f>
        <v>-0.04</v>
      </c>
    </row>
    <row r="82" spans="1:44" ht="15" customHeight="1">
      <c r="A82" s="227"/>
      <c r="B82" s="1863"/>
      <c r="C82" s="227"/>
      <c r="D82" s="1214"/>
      <c r="E82" s="1216"/>
      <c r="F82" s="265"/>
      <c r="G82" s="1216"/>
      <c r="H82" s="265"/>
      <c r="I82" s="265"/>
      <c r="J82" s="265"/>
      <c r="K82" s="265"/>
      <c r="L82" s="265"/>
      <c r="M82" s="265"/>
      <c r="N82" s="278"/>
      <c r="O82" s="265"/>
      <c r="P82" s="278"/>
      <c r="Q82" s="265"/>
      <c r="R82" s="278"/>
      <c r="S82" s="265"/>
      <c r="T82" s="278"/>
      <c r="U82" s="265"/>
      <c r="V82" s="278"/>
      <c r="W82" s="265"/>
      <c r="X82" s="278"/>
      <c r="Y82" s="265"/>
      <c r="Z82" s="523"/>
      <c r="AA82" s="265"/>
      <c r="AB82" s="254"/>
      <c r="AC82" s="265"/>
      <c r="AD82" s="265"/>
      <c r="AE82" s="254"/>
      <c r="AF82" s="265"/>
      <c r="AG82" s="520"/>
      <c r="AH82" s="253"/>
      <c r="AI82" s="1214"/>
      <c r="AJ82" s="252"/>
      <c r="AK82" s="2201"/>
    </row>
    <row r="83" spans="1:44" ht="15" customHeight="1">
      <c r="A83" s="227"/>
      <c r="B83" s="525" t="s">
        <v>157</v>
      </c>
      <c r="C83" s="227"/>
      <c r="D83" s="1372">
        <f>+'Exhibit G state'!D82+'Exhibit G Federal'!D54</f>
        <v>2865.9</v>
      </c>
      <c r="E83" s="265"/>
      <c r="F83" s="1372">
        <f>+'Exhibit G state'!F82+'Exhibit G Federal'!F54</f>
        <v>3840</v>
      </c>
      <c r="G83" s="265"/>
      <c r="H83" s="1372">
        <f>+'Exhibit G state'!H82+'Exhibit G Federal'!H54</f>
        <v>3921.2</v>
      </c>
      <c r="I83" s="265"/>
      <c r="J83" s="1372">
        <f>+'Exhibit G state'!J82+'Exhibit G Federal'!J54</f>
        <v>3224.5</v>
      </c>
      <c r="K83" s="265"/>
      <c r="L83" s="1372">
        <f>+'Exhibit G state'!L82+'Exhibit G Federal'!L54</f>
        <v>4035</v>
      </c>
      <c r="M83" s="265"/>
      <c r="N83" s="1372">
        <f>+'Exhibit G state'!N82+'Exhibit G Federal'!N54</f>
        <v>3880.4</v>
      </c>
      <c r="O83" s="265"/>
      <c r="P83" s="1372">
        <f>+'Exhibit G state'!P82+'Exhibit G Federal'!P54</f>
        <v>3611.9</v>
      </c>
      <c r="Q83" s="265"/>
      <c r="R83" s="278"/>
      <c r="S83" s="265"/>
      <c r="T83" s="278"/>
      <c r="U83" s="265"/>
      <c r="V83" s="278"/>
      <c r="W83" s="265"/>
      <c r="X83" s="278"/>
      <c r="Y83" s="265"/>
      <c r="Z83" s="523"/>
      <c r="AA83" s="265"/>
      <c r="AB83" s="254"/>
      <c r="AC83" s="265">
        <f t="shared" si="3"/>
        <v>25378.9</v>
      </c>
      <c r="AD83" s="265"/>
      <c r="AE83" s="254"/>
      <c r="AF83" s="521">
        <f>'Exhibit G state'!AH82+'Exhibit G Federal'!AH54</f>
        <v>24056.600000000002</v>
      </c>
      <c r="AG83" s="520"/>
      <c r="AH83" s="253"/>
      <c r="AI83" s="2176">
        <f>ROUND(SUM(+AC83-AF83),1)</f>
        <v>1322.3</v>
      </c>
      <c r="AJ83" s="1021"/>
      <c r="AK83" s="2040">
        <f>ROUND(IF(AF83=0,0,AI83/(AF83)),3)</f>
        <v>5.5E-2</v>
      </c>
    </row>
    <row r="84" spans="1:44" ht="15" customHeight="1">
      <c r="A84" s="227"/>
      <c r="B84" s="227"/>
      <c r="C84" s="227"/>
      <c r="D84" s="293"/>
      <c r="E84" s="265"/>
      <c r="F84" s="293"/>
      <c r="G84" s="265"/>
      <c r="H84" s="293"/>
      <c r="I84" s="265"/>
      <c r="J84" s="293"/>
      <c r="K84" s="265"/>
      <c r="L84" s="293"/>
      <c r="M84" s="265"/>
      <c r="N84" s="293"/>
      <c r="O84" s="265"/>
      <c r="P84" s="293"/>
      <c r="Q84" s="265"/>
      <c r="R84" s="293"/>
      <c r="S84" s="265"/>
      <c r="T84" s="293"/>
      <c r="U84" s="265"/>
      <c r="V84" s="293"/>
      <c r="W84" s="265"/>
      <c r="X84" s="293"/>
      <c r="Y84" s="265"/>
      <c r="Z84" s="293"/>
      <c r="AA84" s="265"/>
      <c r="AB84" s="254"/>
      <c r="AC84" s="293"/>
      <c r="AD84" s="265"/>
      <c r="AE84" s="254"/>
      <c r="AF84" s="293"/>
      <c r="AG84" s="520"/>
      <c r="AH84" s="253"/>
      <c r="AI84" s="3143"/>
      <c r="AK84" s="3148"/>
    </row>
    <row r="85" spans="1:44" ht="15" customHeight="1">
      <c r="A85" s="227"/>
      <c r="B85" s="225" t="s">
        <v>158</v>
      </c>
      <c r="C85" s="227"/>
      <c r="D85" s="2154">
        <f>ROUND(SUM(D83+D81+D40),1)</f>
        <v>4442.6000000000004</v>
      </c>
      <c r="E85" s="261"/>
      <c r="F85" s="2154">
        <f>ROUND(SUM(F83+F81+F40),1)</f>
        <v>5466.9</v>
      </c>
      <c r="G85" s="261"/>
      <c r="H85" s="2154">
        <f>ROUND(SUM(H83+H81+H40),1)</f>
        <v>6106.9</v>
      </c>
      <c r="I85" s="261"/>
      <c r="J85" s="2154">
        <f>ROUND(SUM(J83+J81+J40),1)</f>
        <v>4878.2</v>
      </c>
      <c r="K85" s="261"/>
      <c r="L85" s="2154">
        <f>ROUND(SUM(L83+L81+L40),1)</f>
        <v>5664.9</v>
      </c>
      <c r="M85" s="261"/>
      <c r="N85" s="2154">
        <f>ROUND(SUM(N83+N81+N40),1)</f>
        <v>6271.1</v>
      </c>
      <c r="O85" s="261"/>
      <c r="P85" s="2154">
        <f>ROUND(SUM(P83+P81+P40),1)</f>
        <v>5419.9</v>
      </c>
      <c r="Q85" s="261"/>
      <c r="R85" s="2154">
        <f>ROUND(SUM(R83+R81+R40),1)</f>
        <v>0</v>
      </c>
      <c r="S85" s="261"/>
      <c r="T85" s="2154">
        <f>ROUND(SUM(T83+T81+T40),1)</f>
        <v>0</v>
      </c>
      <c r="U85" s="261"/>
      <c r="V85" s="2154">
        <f>ROUND(SUM(V83+V81+V40),1)</f>
        <v>0</v>
      </c>
      <c r="W85" s="261"/>
      <c r="X85" s="2154">
        <f>ROUND(SUM(X83+X81+X40),1)</f>
        <v>0</v>
      </c>
      <c r="Y85" s="261"/>
      <c r="Z85" s="2154">
        <f>ROUND(SUM(Z83+Z81+Z40),1)</f>
        <v>0</v>
      </c>
      <c r="AA85" s="261"/>
      <c r="AB85" s="263"/>
      <c r="AC85" s="2154">
        <f>ROUND(SUM(AC83+AC81+AC40),1)</f>
        <v>38250.5</v>
      </c>
      <c r="AD85" s="261"/>
      <c r="AE85" s="263"/>
      <c r="AF85" s="2154">
        <f>ROUND(SUM(AF83+AF81+AF40),1)</f>
        <v>37231.4</v>
      </c>
      <c r="AG85" s="527"/>
      <c r="AH85" s="277"/>
      <c r="AI85" s="275">
        <f>ROUND(SUM(AI83+AI81+AI40),1)</f>
        <v>1019.1</v>
      </c>
      <c r="AJ85" s="529"/>
      <c r="AK85" s="2204">
        <f>ROUND(SUM(+AI85/AF85),3)</f>
        <v>2.7E-2</v>
      </c>
    </row>
    <row r="86" spans="1:44" ht="15" customHeight="1">
      <c r="A86" s="227"/>
      <c r="B86" s="227"/>
      <c r="C86" s="227"/>
      <c r="D86" s="293"/>
      <c r="E86" s="265"/>
      <c r="F86" s="293"/>
      <c r="G86" s="265"/>
      <c r="H86" s="293"/>
      <c r="I86" s="265"/>
      <c r="J86" s="293"/>
      <c r="K86" s="265"/>
      <c r="L86" s="293"/>
      <c r="M86" s="265"/>
      <c r="N86" s="293"/>
      <c r="O86" s="265"/>
      <c r="P86" s="293"/>
      <c r="Q86" s="265"/>
      <c r="R86" s="293"/>
      <c r="S86" s="265"/>
      <c r="T86" s="293"/>
      <c r="U86" s="265"/>
      <c r="V86" s="293"/>
      <c r="W86" s="265"/>
      <c r="X86" s="293"/>
      <c r="Y86" s="265"/>
      <c r="Z86" s="293"/>
      <c r="AA86" s="265"/>
      <c r="AB86" s="254"/>
      <c r="AC86" s="293"/>
      <c r="AD86" s="265"/>
      <c r="AE86" s="254"/>
      <c r="AF86" s="293"/>
      <c r="AG86" s="520"/>
      <c r="AH86" s="253"/>
      <c r="AI86" s="1214"/>
      <c r="AK86" s="2201"/>
    </row>
    <row r="87" spans="1:44" ht="15" customHeight="1">
      <c r="A87" s="227"/>
      <c r="B87" s="380" t="s">
        <v>24</v>
      </c>
      <c r="C87" s="227"/>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54"/>
      <c r="AC87" s="265"/>
      <c r="AD87" s="1772"/>
      <c r="AE87" s="1769"/>
      <c r="AF87" s="265"/>
      <c r="AG87" s="520"/>
      <c r="AH87" s="253"/>
      <c r="AI87" s="1214"/>
      <c r="AK87" s="2201"/>
    </row>
    <row r="88" spans="1:44" ht="15" customHeight="1">
      <c r="A88" s="227"/>
      <c r="B88" s="1407" t="s">
        <v>159</v>
      </c>
      <c r="C88" s="227"/>
      <c r="D88" s="265"/>
      <c r="E88" s="265"/>
      <c r="F88" s="278"/>
      <c r="G88" s="265"/>
      <c r="H88" s="323"/>
      <c r="I88" s="265"/>
      <c r="J88" s="323"/>
      <c r="K88" s="265"/>
      <c r="L88" s="323"/>
      <c r="M88" s="265"/>
      <c r="N88" s="278"/>
      <c r="O88" s="265"/>
      <c r="P88" s="278"/>
      <c r="Q88" s="265"/>
      <c r="R88" s="278"/>
      <c r="S88" s="265"/>
      <c r="T88" s="278"/>
      <c r="U88" s="265"/>
      <c r="V88" s="278"/>
      <c r="W88" s="265"/>
      <c r="X88" s="265"/>
      <c r="Y88" s="265"/>
      <c r="Z88" s="523"/>
      <c r="AA88" s="265"/>
      <c r="AB88" s="254"/>
      <c r="AC88" s="265"/>
      <c r="AD88" s="265"/>
      <c r="AE88" s="254"/>
      <c r="AF88" s="323"/>
      <c r="AG88" s="520"/>
      <c r="AH88" s="253"/>
      <c r="AI88" s="1214"/>
      <c r="AK88" s="1311"/>
    </row>
    <row r="89" spans="1:44" ht="15" customHeight="1">
      <c r="A89" s="227"/>
      <c r="B89" s="386" t="s">
        <v>26</v>
      </c>
      <c r="C89" s="227"/>
      <c r="D89" s="1372">
        <f>+'Exhibit G state'!D88+'Exhibit G Federal'!D60</f>
        <v>446.6</v>
      </c>
      <c r="E89" s="265"/>
      <c r="F89" s="1372">
        <f>+'Exhibit G state'!F88+'Exhibit G Federal'!F60</f>
        <v>452.4</v>
      </c>
      <c r="G89" s="265"/>
      <c r="H89" s="1372">
        <f>+'Exhibit G state'!H88+'Exhibit G Federal'!H60</f>
        <v>1082.0999999999999</v>
      </c>
      <c r="I89" s="265"/>
      <c r="J89" s="1372">
        <f>+'Exhibit G state'!J88+'Exhibit G Federal'!J60</f>
        <v>226.1</v>
      </c>
      <c r="K89" s="265"/>
      <c r="L89" s="1372">
        <f>+'Exhibit G state'!L88+'Exhibit G Federal'!L60</f>
        <v>164.1</v>
      </c>
      <c r="M89" s="265"/>
      <c r="N89" s="1372">
        <f>+'Exhibit G state'!N88+'Exhibit G Federal'!N60</f>
        <v>2365.6</v>
      </c>
      <c r="O89" s="265"/>
      <c r="P89" s="1372">
        <f>+'Exhibit G state'!P88+'Exhibit G Federal'!P60</f>
        <v>335.9</v>
      </c>
      <c r="Q89" s="265"/>
      <c r="R89" s="278"/>
      <c r="S89" s="265"/>
      <c r="T89" s="278"/>
      <c r="U89" s="265"/>
      <c r="V89" s="278"/>
      <c r="W89" s="265"/>
      <c r="X89" s="278"/>
      <c r="Y89" s="265"/>
      <c r="Z89" s="323"/>
      <c r="AA89" s="265"/>
      <c r="AB89" s="254"/>
      <c r="AC89" s="265">
        <f>ROUND(SUM(D89:Z89),1)</f>
        <v>5072.8</v>
      </c>
      <c r="AD89" s="265"/>
      <c r="AE89" s="254"/>
      <c r="AF89" s="266">
        <f>'Exhibit G state'!AH88+'Exhibit G Federal'!AH60</f>
        <v>5371</v>
      </c>
      <c r="AG89" s="520"/>
      <c r="AH89" s="253"/>
      <c r="AI89" s="1214">
        <f>ROUND(SUM(+AC89-AF89),1)</f>
        <v>-298.2</v>
      </c>
      <c r="AJ89" s="1021"/>
      <c r="AK89" s="2040">
        <f>ROUND(IF(AF89=0,0,AI89/(AF89)),3)</f>
        <v>-5.6000000000000001E-2</v>
      </c>
      <c r="AQ89" s="346"/>
      <c r="AR89" s="480"/>
    </row>
    <row r="90" spans="1:44" ht="15" customHeight="1">
      <c r="A90" s="227"/>
      <c r="B90" s="386" t="s">
        <v>27</v>
      </c>
      <c r="C90" s="227"/>
      <c r="D90" s="1372">
        <f>+'Exhibit G state'!D89+'Exhibit G Federal'!D61</f>
        <v>0.1</v>
      </c>
      <c r="E90" s="265"/>
      <c r="F90" s="1372">
        <f>+'Exhibit G state'!F89+'Exhibit G Federal'!F61</f>
        <v>0.1</v>
      </c>
      <c r="G90" s="265"/>
      <c r="H90" s="1372">
        <f>+'Exhibit G state'!H89+'Exhibit G Federal'!H61</f>
        <v>0.5</v>
      </c>
      <c r="I90" s="265"/>
      <c r="J90" s="1372">
        <f>+'Exhibit G state'!J89+'Exhibit G Federal'!J61</f>
        <v>0.2</v>
      </c>
      <c r="K90" s="265"/>
      <c r="L90" s="1372">
        <f>+'Exhibit G state'!L89+'Exhibit G Federal'!L61</f>
        <v>0.2</v>
      </c>
      <c r="M90" s="265"/>
      <c r="N90" s="1372">
        <f>+'Exhibit G state'!N89+'Exhibit G Federal'!N61</f>
        <v>0.8</v>
      </c>
      <c r="O90" s="265"/>
      <c r="P90" s="2247">
        <f>+'Exhibit G state'!P89+'Exhibit G Federal'!P61</f>
        <v>0</v>
      </c>
      <c r="Q90" s="265"/>
      <c r="R90" s="278"/>
      <c r="S90" s="265"/>
      <c r="T90" s="278"/>
      <c r="U90" s="265"/>
      <c r="V90" s="278"/>
      <c r="W90" s="265"/>
      <c r="X90" s="278"/>
      <c r="Y90" s="265"/>
      <c r="Z90" s="323"/>
      <c r="AA90" s="265"/>
      <c r="AB90" s="254"/>
      <c r="AC90" s="265">
        <f>ROUND(SUM(D90:Z90),1)</f>
        <v>1.9</v>
      </c>
      <c r="AD90" s="265"/>
      <c r="AE90" s="254"/>
      <c r="AF90" s="266">
        <f>'Exhibit G state'!AH89+'Exhibit G Federal'!AH61</f>
        <v>2.1</v>
      </c>
      <c r="AG90" s="520"/>
      <c r="AH90" s="253"/>
      <c r="AI90" s="1214">
        <f>ROUND(SUM(+AC90-AF90),1)</f>
        <v>-0.2</v>
      </c>
      <c r="AJ90" s="1021"/>
      <c r="AK90" s="2040">
        <f>ROUND(IF(AF90=0,0,AI90/(AF90)),3)</f>
        <v>-9.5000000000000001E-2</v>
      </c>
      <c r="AQ90" s="480"/>
      <c r="AR90" s="480"/>
    </row>
    <row r="91" spans="1:44" ht="15" customHeight="1">
      <c r="A91" s="227"/>
      <c r="B91" s="386" t="s">
        <v>28</v>
      </c>
      <c r="C91" s="227"/>
      <c r="D91" s="1372">
        <f>+'Exhibit G state'!D90+'Exhibit G Federal'!D62</f>
        <v>14.3</v>
      </c>
      <c r="E91" s="265"/>
      <c r="F91" s="1372">
        <f>+'Exhibit G state'!F90+'Exhibit G Federal'!F62</f>
        <v>9.6999999999999993</v>
      </c>
      <c r="G91" s="265"/>
      <c r="H91" s="1372">
        <f>+'Exhibit G state'!H90+'Exhibit G Federal'!H62</f>
        <v>18</v>
      </c>
      <c r="I91" s="265"/>
      <c r="J91" s="1372">
        <f>+'Exhibit G state'!J90+'Exhibit G Federal'!J62</f>
        <v>25.7</v>
      </c>
      <c r="K91" s="265"/>
      <c r="L91" s="1372">
        <f>+'Exhibit G state'!L90+'Exhibit G Federal'!L62</f>
        <v>58.6</v>
      </c>
      <c r="M91" s="265"/>
      <c r="N91" s="1372">
        <f>+'Exhibit G state'!N90+'Exhibit G Federal'!N62</f>
        <v>20</v>
      </c>
      <c r="O91" s="265"/>
      <c r="P91" s="1372">
        <f>+'Exhibit G state'!P90+'Exhibit G Federal'!P62</f>
        <v>12.1</v>
      </c>
      <c r="Q91" s="265"/>
      <c r="R91" s="278"/>
      <c r="S91" s="265"/>
      <c r="T91" s="278"/>
      <c r="U91" s="265"/>
      <c r="V91" s="278"/>
      <c r="W91" s="265"/>
      <c r="X91" s="278"/>
      <c r="Y91" s="265"/>
      <c r="Z91" s="323"/>
      <c r="AA91" s="265"/>
      <c r="AB91" s="254"/>
      <c r="AC91" s="265">
        <f>ROUND(SUM(D91:Z91),1)</f>
        <v>158.4</v>
      </c>
      <c r="AD91" s="265"/>
      <c r="AE91" s="254"/>
      <c r="AF91" s="266">
        <f>'Exhibit G state'!AH90+'Exhibit G Federal'!AH62</f>
        <v>263.10000000000002</v>
      </c>
      <c r="AG91" s="520"/>
      <c r="AH91" s="253"/>
      <c r="AI91" s="1214">
        <f>ROUND(SUM(+AC91-AF91),1)</f>
        <v>-104.7</v>
      </c>
      <c r="AJ91" s="1021"/>
      <c r="AK91" s="2040">
        <f>ROUND(IF(AF91=0,0,AI91/(AF91)),3)</f>
        <v>-0.39800000000000002</v>
      </c>
      <c r="AQ91" s="480"/>
      <c r="AR91" s="480"/>
    </row>
    <row r="92" spans="1:44" ht="15" customHeight="1">
      <c r="A92" s="227"/>
      <c r="B92" s="386" t="s">
        <v>29</v>
      </c>
      <c r="C92" s="227"/>
      <c r="D92" s="253"/>
      <c r="E92" s="265"/>
      <c r="F92" s="253"/>
      <c r="G92" s="265"/>
      <c r="H92" s="253"/>
      <c r="I92" s="265"/>
      <c r="J92" s="253"/>
      <c r="K92" s="265"/>
      <c r="L92" s="253"/>
      <c r="M92" s="265"/>
      <c r="N92" s="253"/>
      <c r="O92" s="265"/>
      <c r="P92" s="265"/>
      <c r="Q92" s="265"/>
      <c r="R92" s="253"/>
      <c r="S92" s="265"/>
      <c r="T92" s="253"/>
      <c r="U92" s="265"/>
      <c r="V92" s="253"/>
      <c r="W92" s="265"/>
      <c r="X92" s="265"/>
      <c r="Y92" s="265"/>
      <c r="Z92" s="323"/>
      <c r="AA92" s="265"/>
      <c r="AB92" s="254"/>
      <c r="AC92" s="265"/>
      <c r="AD92" s="265"/>
      <c r="AE92" s="254"/>
      <c r="AF92" s="266"/>
      <c r="AG92" s="520"/>
      <c r="AH92" s="253"/>
      <c r="AI92" s="1214" t="s">
        <v>16</v>
      </c>
      <c r="AJ92" s="1310" t="s">
        <v>16</v>
      </c>
      <c r="AK92" s="1311" t="s">
        <v>16</v>
      </c>
      <c r="AQ92" s="346"/>
      <c r="AR92" s="346"/>
    </row>
    <row r="93" spans="1:44" ht="15" customHeight="1">
      <c r="A93" s="227"/>
      <c r="B93" s="1864" t="s">
        <v>30</v>
      </c>
      <c r="C93" s="227"/>
      <c r="D93" s="1372">
        <f>+'Exhibit G state'!D92+'Exhibit G Federal'!D64</f>
        <v>2526.4</v>
      </c>
      <c r="E93" s="265"/>
      <c r="F93" s="1372">
        <f>+'Exhibit G state'!F92+'Exhibit G Federal'!F64</f>
        <v>2609.4</v>
      </c>
      <c r="G93" s="265"/>
      <c r="H93" s="1372">
        <f>+'Exhibit G state'!H92+'Exhibit G Federal'!H64</f>
        <v>2849</v>
      </c>
      <c r="I93" s="265"/>
      <c r="J93" s="1372">
        <f>+'Exhibit G state'!J92+'Exhibit G Federal'!J64</f>
        <v>2687.2000000000003</v>
      </c>
      <c r="K93" s="265"/>
      <c r="L93" s="1372">
        <f>+'Exhibit G state'!L92+'Exhibit G Federal'!L64</f>
        <v>2980.1</v>
      </c>
      <c r="M93" s="265"/>
      <c r="N93" s="1372">
        <f>+'Exhibit G state'!N92+'Exhibit G Federal'!N64</f>
        <v>2446.3000000000002</v>
      </c>
      <c r="O93" s="265"/>
      <c r="P93" s="1372">
        <f>+'Exhibit G state'!P92+'Exhibit G Federal'!P64</f>
        <v>3111.8</v>
      </c>
      <c r="Q93" s="265"/>
      <c r="R93" s="278"/>
      <c r="S93" s="265"/>
      <c r="T93" s="278"/>
      <c r="U93" s="265"/>
      <c r="V93" s="278"/>
      <c r="W93" s="265"/>
      <c r="X93" s="278"/>
      <c r="Y93" s="265"/>
      <c r="Z93" s="323"/>
      <c r="AA93" s="265"/>
      <c r="AB93" s="254"/>
      <c r="AC93" s="265">
        <f t="shared" ref="AC93:AC98" si="8">ROUND(SUM(D93:Z93),1)</f>
        <v>19210.2</v>
      </c>
      <c r="AD93" s="265"/>
      <c r="AE93" s="254"/>
      <c r="AF93" s="266">
        <f>'Exhibit G state'!AH92+'Exhibit G Federal'!AH64</f>
        <v>16983.900000000001</v>
      </c>
      <c r="AG93" s="520"/>
      <c r="AH93" s="253"/>
      <c r="AI93" s="1214">
        <f t="shared" ref="AI93:AI98" si="9">ROUND(SUM(+AC93-AF93),1)</f>
        <v>2226.3000000000002</v>
      </c>
      <c r="AJ93" s="1021"/>
      <c r="AK93" s="2040">
        <f t="shared" ref="AK93:AK98" si="10">ROUND(IF(AF93=0,0,AI93/(AF93)),3)</f>
        <v>0.13100000000000001</v>
      </c>
      <c r="AQ93" s="346"/>
      <c r="AR93" s="346"/>
    </row>
    <row r="94" spans="1:44" ht="15" customHeight="1">
      <c r="A94" s="227"/>
      <c r="B94" s="386" t="s">
        <v>31</v>
      </c>
      <c r="C94" s="227"/>
      <c r="D94" s="1372">
        <f>+'Exhibit G state'!D93+'Exhibit G Federal'!D65</f>
        <v>218.1</v>
      </c>
      <c r="E94" s="265"/>
      <c r="F94" s="1372">
        <f>+'Exhibit G state'!F93+'Exhibit G Federal'!F65</f>
        <v>246.7</v>
      </c>
      <c r="G94" s="265"/>
      <c r="H94" s="1372">
        <f>+'Exhibit G state'!H93+'Exhibit G Federal'!H65</f>
        <v>340.6</v>
      </c>
      <c r="I94" s="265"/>
      <c r="J94" s="1372">
        <f>+'Exhibit G state'!J93+'Exhibit G Federal'!J65</f>
        <v>401.6</v>
      </c>
      <c r="K94" s="265"/>
      <c r="L94" s="1372">
        <f>+'Exhibit G state'!L93+'Exhibit G Federal'!L65</f>
        <v>398.2</v>
      </c>
      <c r="M94" s="265"/>
      <c r="N94" s="1372">
        <f>+'Exhibit G state'!N93+'Exhibit G Federal'!N65</f>
        <v>331.6</v>
      </c>
      <c r="O94" s="265"/>
      <c r="P94" s="1372">
        <f>+'Exhibit G state'!P93+'Exhibit G Federal'!P65</f>
        <v>383.9</v>
      </c>
      <c r="Q94" s="265"/>
      <c r="R94" s="278"/>
      <c r="S94" s="265"/>
      <c r="T94" s="278"/>
      <c r="U94" s="265"/>
      <c r="V94" s="278"/>
      <c r="W94" s="265"/>
      <c r="X94" s="278"/>
      <c r="Y94" s="265"/>
      <c r="Z94" s="323"/>
      <c r="AA94" s="265"/>
      <c r="AB94" s="254"/>
      <c r="AC94" s="265">
        <f t="shared" si="8"/>
        <v>2320.6999999999998</v>
      </c>
      <c r="AD94" s="265"/>
      <c r="AE94" s="254"/>
      <c r="AF94" s="266">
        <f>'Exhibit G state'!AH93+'Exhibit G Federal'!AH65</f>
        <v>2386.3000000000002</v>
      </c>
      <c r="AG94" s="520"/>
      <c r="AH94" s="253"/>
      <c r="AI94" s="1214">
        <f t="shared" si="9"/>
        <v>-65.599999999999994</v>
      </c>
      <c r="AJ94" s="1021"/>
      <c r="AK94" s="2040">
        <f t="shared" si="10"/>
        <v>-2.7E-2</v>
      </c>
      <c r="AQ94" s="346"/>
      <c r="AR94" s="346"/>
    </row>
    <row r="95" spans="1:44" ht="15" customHeight="1">
      <c r="A95" s="227"/>
      <c r="B95" s="386" t="s">
        <v>32</v>
      </c>
      <c r="C95" s="227"/>
      <c r="D95" s="1372">
        <f>+'Exhibit G state'!D94+'Exhibit G Federal'!D66</f>
        <v>59.800000000000004</v>
      </c>
      <c r="E95" s="265"/>
      <c r="F95" s="1372">
        <f>+'Exhibit G state'!F94+'Exhibit G Federal'!F66</f>
        <v>165.4</v>
      </c>
      <c r="G95" s="265"/>
      <c r="H95" s="1372">
        <f>+'Exhibit G state'!H94+'Exhibit G Federal'!H66</f>
        <v>47.8</v>
      </c>
      <c r="I95" s="265"/>
      <c r="J95" s="1372">
        <f>+'Exhibit G state'!J94+'Exhibit G Federal'!J66</f>
        <v>74.900000000000006</v>
      </c>
      <c r="K95" s="265"/>
      <c r="L95" s="1372">
        <f>+'Exhibit G state'!L94+'Exhibit G Federal'!L66</f>
        <v>583.79999999999995</v>
      </c>
      <c r="M95" s="265"/>
      <c r="N95" s="1372">
        <f>+'Exhibit G state'!N94+'Exhibit G Federal'!N66</f>
        <v>41.5</v>
      </c>
      <c r="O95" s="265"/>
      <c r="P95" s="1372">
        <f>+'Exhibit G state'!P94+'Exhibit G Federal'!P66</f>
        <v>40.699999999999996</v>
      </c>
      <c r="Q95" s="265"/>
      <c r="R95" s="278"/>
      <c r="S95" s="265"/>
      <c r="T95" s="278"/>
      <c r="U95" s="265"/>
      <c r="V95" s="278"/>
      <c r="W95" s="265"/>
      <c r="X95" s="278"/>
      <c r="Y95" s="265"/>
      <c r="Z95" s="323"/>
      <c r="AA95" s="265"/>
      <c r="AB95" s="254"/>
      <c r="AC95" s="265">
        <f t="shared" si="8"/>
        <v>1013.9</v>
      </c>
      <c r="AD95" s="265"/>
      <c r="AE95" s="254"/>
      <c r="AF95" s="266">
        <f>'Exhibit G state'!AH94+'Exhibit G Federal'!AH66</f>
        <v>1348.2</v>
      </c>
      <c r="AG95" s="520"/>
      <c r="AH95" s="253"/>
      <c r="AI95" s="1214">
        <f t="shared" si="9"/>
        <v>-334.3</v>
      </c>
      <c r="AJ95" s="1021"/>
      <c r="AK95" s="2040">
        <f t="shared" si="10"/>
        <v>-0.248</v>
      </c>
      <c r="AQ95" s="346"/>
      <c r="AR95" s="346"/>
    </row>
    <row r="96" spans="1:44" ht="15" customHeight="1">
      <c r="A96" s="227"/>
      <c r="B96" s="386" t="s">
        <v>33</v>
      </c>
      <c r="C96" s="227"/>
      <c r="D96" s="1372">
        <f>+'Exhibit G state'!D95+'Exhibit G Federal'!D67</f>
        <v>364.09999999999997</v>
      </c>
      <c r="E96" s="265"/>
      <c r="F96" s="1372">
        <f>+'Exhibit G state'!F95+'Exhibit G Federal'!F67</f>
        <v>261.20000000000005</v>
      </c>
      <c r="G96" s="265"/>
      <c r="H96" s="1372">
        <f>+'Exhibit G state'!H95+'Exhibit G Federal'!H67</f>
        <v>468.09999999999997</v>
      </c>
      <c r="I96" s="265"/>
      <c r="J96" s="1372">
        <f>+'Exhibit G state'!J95+'Exhibit G Federal'!J67</f>
        <v>352.7</v>
      </c>
      <c r="K96" s="265"/>
      <c r="L96" s="1372">
        <f>+'Exhibit G state'!L95+'Exhibit G Federal'!L67</f>
        <v>317.89999999999998</v>
      </c>
      <c r="M96" s="265"/>
      <c r="N96" s="1372">
        <f>+'Exhibit G state'!N95+'Exhibit G Federal'!N67</f>
        <v>775.8</v>
      </c>
      <c r="O96" s="265"/>
      <c r="P96" s="1372">
        <f>+'Exhibit G state'!P95+'Exhibit G Federal'!P67</f>
        <v>222.39999999999998</v>
      </c>
      <c r="Q96" s="265"/>
      <c r="R96" s="278"/>
      <c r="S96" s="265"/>
      <c r="T96" s="278"/>
      <c r="U96" s="265"/>
      <c r="V96" s="278"/>
      <c r="W96" s="265"/>
      <c r="X96" s="278"/>
      <c r="Y96" s="265"/>
      <c r="Z96" s="323"/>
      <c r="AA96" s="265"/>
      <c r="AB96" s="254"/>
      <c r="AC96" s="265">
        <f t="shared" si="8"/>
        <v>2762.2</v>
      </c>
      <c r="AD96" s="265"/>
      <c r="AE96" s="254"/>
      <c r="AF96" s="266">
        <f>'Exhibit G state'!AH95+'Exhibit G Federal'!AH67</f>
        <v>2899</v>
      </c>
      <c r="AG96" s="520"/>
      <c r="AH96" s="253"/>
      <c r="AI96" s="1214">
        <f t="shared" si="9"/>
        <v>-136.80000000000001</v>
      </c>
      <c r="AJ96" s="1021"/>
      <c r="AK96" s="2040">
        <f t="shared" si="10"/>
        <v>-4.7E-2</v>
      </c>
      <c r="AQ96" s="346"/>
      <c r="AR96" s="346"/>
    </row>
    <row r="97" spans="1:45" ht="15" customHeight="1">
      <c r="A97" s="227"/>
      <c r="B97" s="386" t="s">
        <v>34</v>
      </c>
      <c r="C97" s="227"/>
      <c r="D97" s="1372">
        <f>+'Exhibit G state'!D96+'Exhibit G Federal'!D68</f>
        <v>0.5</v>
      </c>
      <c r="E97" s="265"/>
      <c r="F97" s="1372">
        <f>+'Exhibit G state'!F96+'Exhibit G Federal'!F68</f>
        <v>2</v>
      </c>
      <c r="G97" s="265"/>
      <c r="H97" s="1372">
        <f>+'Exhibit G state'!H96+'Exhibit G Federal'!H68</f>
        <v>5</v>
      </c>
      <c r="I97" s="265"/>
      <c r="J97" s="1372">
        <f>+'Exhibit G state'!J96+'Exhibit G Federal'!J68</f>
        <v>199.6</v>
      </c>
      <c r="K97" s="265"/>
      <c r="L97" s="1372">
        <f>+'Exhibit G state'!L96+'Exhibit G Federal'!L68</f>
        <v>1.8</v>
      </c>
      <c r="M97" s="265"/>
      <c r="N97" s="1372">
        <f>+'Exhibit G state'!N96+'Exhibit G Federal'!N68</f>
        <v>2</v>
      </c>
      <c r="O97" s="265"/>
      <c r="P97" s="1372">
        <f>+'Exhibit G state'!P96+'Exhibit G Federal'!P68</f>
        <v>3.1</v>
      </c>
      <c r="Q97" s="265"/>
      <c r="R97" s="278"/>
      <c r="S97" s="265"/>
      <c r="T97" s="278"/>
      <c r="U97" s="265"/>
      <c r="V97" s="278"/>
      <c r="W97" s="265"/>
      <c r="X97" s="278"/>
      <c r="Y97" s="265"/>
      <c r="Z97" s="323"/>
      <c r="AA97" s="265"/>
      <c r="AB97" s="254"/>
      <c r="AC97" s="265">
        <f t="shared" si="8"/>
        <v>214</v>
      </c>
      <c r="AD97" s="265"/>
      <c r="AE97" s="254"/>
      <c r="AF97" s="266">
        <f>'Exhibit G state'!AH96+'Exhibit G Federal'!AH68</f>
        <v>239.8</v>
      </c>
      <c r="AG97" s="520"/>
      <c r="AH97" s="253"/>
      <c r="AI97" s="1214">
        <f t="shared" si="9"/>
        <v>-25.8</v>
      </c>
      <c r="AJ97" s="1021"/>
      <c r="AK97" s="2040">
        <f t="shared" si="10"/>
        <v>-0.108</v>
      </c>
      <c r="AQ97" s="480"/>
      <c r="AR97" s="480"/>
    </row>
    <row r="98" spans="1:45" ht="15" customHeight="1">
      <c r="A98" s="227"/>
      <c r="B98" s="386" t="s">
        <v>35</v>
      </c>
      <c r="C98" s="227"/>
      <c r="D98" s="1372">
        <f>+'Exhibit G state'!D97+'Exhibit G Federal'!D69</f>
        <v>157.39999999999998</v>
      </c>
      <c r="E98" s="265"/>
      <c r="F98" s="1372">
        <f>+'Exhibit G state'!F97+'Exhibit G Federal'!F69</f>
        <v>546.6</v>
      </c>
      <c r="G98" s="265"/>
      <c r="H98" s="1372">
        <f>+'Exhibit G state'!H97+'Exhibit G Federal'!H69</f>
        <v>344</v>
      </c>
      <c r="I98" s="265"/>
      <c r="J98" s="1372">
        <f>+'Exhibit G state'!J97+'Exhibit G Federal'!J69</f>
        <v>356.3</v>
      </c>
      <c r="K98" s="265"/>
      <c r="L98" s="1372">
        <f>+'Exhibit G state'!L97+'Exhibit G Federal'!L69</f>
        <v>459.2</v>
      </c>
      <c r="M98" s="265"/>
      <c r="N98" s="1372">
        <f>+'Exhibit G state'!N97+'Exhibit G Federal'!N69</f>
        <v>406.3</v>
      </c>
      <c r="O98" s="265"/>
      <c r="P98" s="2177">
        <f>+'Exhibit G state'!P97+'Exhibit G Federal'!P69</f>
        <v>340</v>
      </c>
      <c r="Q98" s="265"/>
      <c r="R98" s="278"/>
      <c r="S98" s="265"/>
      <c r="T98" s="278"/>
      <c r="U98" s="265"/>
      <c r="V98" s="278"/>
      <c r="W98" s="265"/>
      <c r="X98" s="278"/>
      <c r="Y98" s="265"/>
      <c r="Z98" s="531"/>
      <c r="AA98" s="265"/>
      <c r="AB98" s="254"/>
      <c r="AC98" s="253">
        <f t="shared" si="8"/>
        <v>2609.8000000000002</v>
      </c>
      <c r="AD98" s="265"/>
      <c r="AE98" s="254"/>
      <c r="AF98" s="266">
        <f>'Exhibit G state'!AH97+'Exhibit G Federal'!AH69</f>
        <v>2605.7000000000003</v>
      </c>
      <c r="AG98" s="520"/>
      <c r="AH98" s="253"/>
      <c r="AI98" s="2176">
        <f t="shared" si="9"/>
        <v>4.0999999999999996</v>
      </c>
      <c r="AJ98" s="1021"/>
      <c r="AK98" s="2916">
        <f t="shared" si="10"/>
        <v>2E-3</v>
      </c>
      <c r="AQ98" s="322"/>
      <c r="AR98" s="322"/>
      <c r="AS98" s="233"/>
    </row>
    <row r="99" spans="1:45" ht="15" customHeight="1">
      <c r="A99" s="227"/>
      <c r="B99" s="225" t="s">
        <v>1681</v>
      </c>
      <c r="C99" s="227"/>
      <c r="D99" s="260">
        <f>ROUND(SUM(D89:D98),1)</f>
        <v>3787.3</v>
      </c>
      <c r="E99" s="261"/>
      <c r="F99" s="260">
        <f>ROUND(SUM(F89:F98),1)</f>
        <v>4293.5</v>
      </c>
      <c r="G99" s="261"/>
      <c r="H99" s="260">
        <f>ROUND(SUM(H89:H98),1)</f>
        <v>5155.1000000000004</v>
      </c>
      <c r="I99" s="261"/>
      <c r="J99" s="260">
        <f>ROUND(SUM(J89:J98),1)</f>
        <v>4324.3</v>
      </c>
      <c r="K99" s="261"/>
      <c r="L99" s="260">
        <f>ROUND(SUM(L89:L98),1)</f>
        <v>4963.8999999999996</v>
      </c>
      <c r="M99" s="261"/>
      <c r="N99" s="260">
        <f>ROUND(SUM(N89:N98),1)</f>
        <v>6389.9</v>
      </c>
      <c r="O99" s="261"/>
      <c r="P99" s="260">
        <f>ROUND(SUM(P89:P98),1)</f>
        <v>4449.8999999999996</v>
      </c>
      <c r="Q99" s="261"/>
      <c r="R99" s="260">
        <f>ROUND(SUM(R89:R98),1)</f>
        <v>0</v>
      </c>
      <c r="S99" s="261"/>
      <c r="T99" s="260">
        <f>ROUND(SUM(T89:T98),1)</f>
        <v>0</v>
      </c>
      <c r="U99" s="261"/>
      <c r="V99" s="260">
        <f>ROUND(SUM(V89:V98),1)</f>
        <v>0</v>
      </c>
      <c r="W99" s="261"/>
      <c r="X99" s="260">
        <f>ROUND(SUM(X89:X98),1)</f>
        <v>0</v>
      </c>
      <c r="Y99" s="261"/>
      <c r="Z99" s="260">
        <f>ROUND(SUM(Z89:Z98),1)</f>
        <v>0</v>
      </c>
      <c r="AA99" s="261"/>
      <c r="AB99" s="263"/>
      <c r="AC99" s="260">
        <f>ROUND(SUM(AC89:AC98),1)</f>
        <v>33363.9</v>
      </c>
      <c r="AD99" s="261"/>
      <c r="AE99" s="263"/>
      <c r="AF99" s="532">
        <f>ROUND(SUM(AF89:AF98),1)</f>
        <v>32099.1</v>
      </c>
      <c r="AG99" s="527"/>
      <c r="AH99" s="277"/>
      <c r="AI99" s="260">
        <f>ROUND(SUM(AI89:AI98),1)</f>
        <v>1264.8</v>
      </c>
      <c r="AJ99" s="373"/>
      <c r="AK99" s="2204">
        <f>ROUND(SUM(+AI99/AF99),3)</f>
        <v>3.9E-2</v>
      </c>
      <c r="AQ99" s="233"/>
      <c r="AR99" s="322"/>
      <c r="AS99" s="233"/>
    </row>
    <row r="100" spans="1:45" ht="15" customHeight="1">
      <c r="A100" s="227"/>
      <c r="B100" s="227" t="s">
        <v>178</v>
      </c>
      <c r="C100" s="227"/>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323"/>
      <c r="AA100" s="265"/>
      <c r="AB100" s="254"/>
      <c r="AC100" s="265"/>
      <c r="AD100" s="265"/>
      <c r="AE100" s="254"/>
      <c r="AF100" s="265"/>
      <c r="AG100" s="520"/>
      <c r="AH100" s="253"/>
      <c r="AI100" s="1214"/>
      <c r="AK100" s="2201"/>
      <c r="AR100" s="346"/>
    </row>
    <row r="101" spans="1:45" ht="15" customHeight="1">
      <c r="A101" s="227"/>
      <c r="B101" s="227" t="s">
        <v>161</v>
      </c>
      <c r="C101" s="227"/>
      <c r="D101" s="1372">
        <f>+'Exhibit G state'!D100+'Exhibit G Federal'!D72</f>
        <v>605.9</v>
      </c>
      <c r="E101" s="265"/>
      <c r="F101" s="1372">
        <f>+'Exhibit G state'!F100+'Exhibit G Federal'!F72</f>
        <v>651.4</v>
      </c>
      <c r="G101" s="265"/>
      <c r="H101" s="1372">
        <f>+'Exhibit G state'!H100+'Exhibit G Federal'!H72</f>
        <v>555.5</v>
      </c>
      <c r="I101" s="265"/>
      <c r="J101" s="1372">
        <f>+'Exhibit G state'!J100+'Exhibit G Federal'!J72</f>
        <v>735.7</v>
      </c>
      <c r="K101" s="265"/>
      <c r="L101" s="1372">
        <f>+'Exhibit G state'!L100+'Exhibit G Federal'!L72</f>
        <v>557.1</v>
      </c>
      <c r="M101" s="265"/>
      <c r="N101" s="1372">
        <f>+'Exhibit G state'!N100+'Exhibit G Federal'!N72</f>
        <v>568.5</v>
      </c>
      <c r="O101" s="265"/>
      <c r="P101" s="1372">
        <f>+'Exhibit G state'!P100+'Exhibit G Federal'!P72</f>
        <v>650.20000000000005</v>
      </c>
      <c r="Q101" s="265"/>
      <c r="R101" s="278"/>
      <c r="S101" s="265"/>
      <c r="T101" s="278"/>
      <c r="U101" s="265"/>
      <c r="V101" s="278"/>
      <c r="W101" s="265"/>
      <c r="X101" s="278"/>
      <c r="Y101" s="265"/>
      <c r="Z101" s="523"/>
      <c r="AA101" s="265"/>
      <c r="AB101" s="254"/>
      <c r="AC101" s="265">
        <f>ROUND(SUM(D101:Z101),1)</f>
        <v>4324.3</v>
      </c>
      <c r="AD101" s="265"/>
      <c r="AE101" s="254"/>
      <c r="AF101" s="265">
        <f>'Exhibit G state'!AH100+'Exhibit G Federal'!AH72</f>
        <v>4330.3</v>
      </c>
      <c r="AG101" s="520"/>
      <c r="AH101" s="253"/>
      <c r="AI101" s="1214">
        <f>ROUND(SUM(+AC101-AF101),1)</f>
        <v>-6</v>
      </c>
      <c r="AJ101" s="252"/>
      <c r="AK101" s="2040">
        <f>ROUND(IF(AF101=0,0,AI101/(AF101)),3)</f>
        <v>-1E-3</v>
      </c>
    </row>
    <row r="102" spans="1:45" ht="15" customHeight="1">
      <c r="A102" s="227"/>
      <c r="B102" s="227" t="s">
        <v>179</v>
      </c>
      <c r="C102" s="227"/>
      <c r="D102" s="1372">
        <f>+'Exhibit G state'!D101+'Exhibit G Federal'!D73</f>
        <v>360</v>
      </c>
      <c r="E102" s="265"/>
      <c r="F102" s="1372">
        <f>+'Exhibit G state'!F101+'Exhibit G Federal'!F73</f>
        <v>311</v>
      </c>
      <c r="G102" s="265"/>
      <c r="H102" s="1372">
        <f>+'Exhibit G state'!H101+'Exhibit G Federal'!H73</f>
        <v>383.2</v>
      </c>
      <c r="I102" s="265"/>
      <c r="J102" s="1372">
        <f>+'Exhibit G state'!J101+'Exhibit G Federal'!J73</f>
        <v>347.9</v>
      </c>
      <c r="K102" s="265"/>
      <c r="L102" s="1372">
        <f>+'Exhibit G state'!L101+'Exhibit G Federal'!L73</f>
        <v>389.29999999999995</v>
      </c>
      <c r="M102" s="265"/>
      <c r="N102" s="1372">
        <f>+'Exhibit G state'!N101+'Exhibit G Federal'!N73</f>
        <v>503</v>
      </c>
      <c r="O102" s="265"/>
      <c r="P102" s="1372">
        <f>+'Exhibit G state'!P101+'Exhibit G Federal'!P73</f>
        <v>476.6</v>
      </c>
      <c r="Q102" s="265"/>
      <c r="R102" s="278"/>
      <c r="S102" s="265"/>
      <c r="T102" s="278"/>
      <c r="U102" s="265"/>
      <c r="V102" s="278"/>
      <c r="W102" s="265"/>
      <c r="X102" s="278"/>
      <c r="Y102" s="265"/>
      <c r="Z102" s="523"/>
      <c r="AA102" s="265"/>
      <c r="AB102" s="254"/>
      <c r="AC102" s="265">
        <f>ROUND(SUM(D102:Z102),1)</f>
        <v>2771</v>
      </c>
      <c r="AD102" s="265"/>
      <c r="AE102" s="254"/>
      <c r="AF102" s="265">
        <f>'Exhibit G state'!AH101+'Exhibit G Federal'!AH73</f>
        <v>2677.2</v>
      </c>
      <c r="AG102" s="520"/>
      <c r="AH102" s="253"/>
      <c r="AI102" s="1214">
        <f>ROUND(SUM(+AC102-AF102),1)</f>
        <v>93.8</v>
      </c>
      <c r="AJ102" s="252"/>
      <c r="AK102" s="2040">
        <f>ROUND(IF(AF102=0,0,AI102/(AF102)),3)</f>
        <v>3.5000000000000003E-2</v>
      </c>
    </row>
    <row r="103" spans="1:45" ht="15" customHeight="1">
      <c r="A103" s="227"/>
      <c r="B103" s="227" t="s">
        <v>180</v>
      </c>
      <c r="C103" s="227"/>
      <c r="D103" s="1372">
        <f>+'Exhibit G state'!D102+'Exhibit G Federal'!D74</f>
        <v>184.20000000000002</v>
      </c>
      <c r="E103" s="265"/>
      <c r="F103" s="1372">
        <f>+'Exhibit G state'!F102+'Exhibit G Federal'!F74</f>
        <v>195.2</v>
      </c>
      <c r="G103" s="265"/>
      <c r="H103" s="1372">
        <f>+'Exhibit G state'!H102+'Exhibit G Federal'!H74</f>
        <v>162.30000000000001</v>
      </c>
      <c r="I103" s="265"/>
      <c r="J103" s="1372">
        <f>+'Exhibit G state'!J102+'Exhibit G Federal'!J74</f>
        <v>36.300000000000004</v>
      </c>
      <c r="K103" s="265"/>
      <c r="L103" s="1372">
        <f>+'Exhibit G state'!L102+'Exhibit G Federal'!L74</f>
        <v>443.40000000000003</v>
      </c>
      <c r="M103" s="265"/>
      <c r="N103" s="1372">
        <f>+'Exhibit G state'!N102+'Exhibit G Federal'!N74</f>
        <v>49.7</v>
      </c>
      <c r="O103" s="265"/>
      <c r="P103" s="1372">
        <f>+'Exhibit G state'!P102+'Exhibit G Federal'!P74</f>
        <v>104.6</v>
      </c>
      <c r="Q103" s="265"/>
      <c r="R103" s="278"/>
      <c r="S103" s="265"/>
      <c r="T103" s="278"/>
      <c r="U103" s="265"/>
      <c r="V103" s="278"/>
      <c r="W103" s="265"/>
      <c r="X103" s="278"/>
      <c r="Y103" s="265"/>
      <c r="Z103" s="523"/>
      <c r="AA103" s="265"/>
      <c r="AB103" s="254"/>
      <c r="AC103" s="265">
        <f>ROUND(SUM(D103:Z103),1)</f>
        <v>1175.7</v>
      </c>
      <c r="AD103" s="265"/>
      <c r="AE103" s="254"/>
      <c r="AF103" s="265">
        <f>'Exhibit G state'!AH102+'Exhibit G Federal'!AH74</f>
        <v>1113.3</v>
      </c>
      <c r="AG103" s="520"/>
      <c r="AH103" s="253"/>
      <c r="AI103" s="1214">
        <f>ROUND(SUM(+AC103-AF103),1)</f>
        <v>62.4</v>
      </c>
      <c r="AJ103" s="252"/>
      <c r="AK103" s="2040">
        <f>ROUND(IF(AF103=0,0,AI103/(AF103)),3)</f>
        <v>5.6000000000000001E-2</v>
      </c>
    </row>
    <row r="104" spans="1:45" ht="15" customHeight="1">
      <c r="A104" s="227"/>
      <c r="B104" s="227" t="s">
        <v>181</v>
      </c>
      <c r="C104" s="227"/>
      <c r="D104" s="1372">
        <f>+'Exhibit G state'!D103+'Exhibit G Federal'!D75</f>
        <v>0.1</v>
      </c>
      <c r="E104" s="265"/>
      <c r="F104" s="1372">
        <f>+'Exhibit G state'!F103+'Exhibit G Federal'!F75</f>
        <v>0.2</v>
      </c>
      <c r="G104" s="265"/>
      <c r="H104" s="1372">
        <f>+'Exhibit G state'!H103+'Exhibit G Federal'!H75</f>
        <v>0.1</v>
      </c>
      <c r="I104" s="265"/>
      <c r="J104" s="1372">
        <f>+'Exhibit G state'!J103+'Exhibit G Federal'!J75</f>
        <v>0.2</v>
      </c>
      <c r="K104" s="265"/>
      <c r="L104" s="1372">
        <f>+'Exhibit G state'!L103+'Exhibit G Federal'!L75</f>
        <v>0.2</v>
      </c>
      <c r="M104" s="265"/>
      <c r="N104" s="1372">
        <f>+'Exhibit G state'!N103+'Exhibit G Federal'!N75</f>
        <v>0.1</v>
      </c>
      <c r="O104" s="265"/>
      <c r="P104" s="2177">
        <f>+'Exhibit G state'!P103+'Exhibit G Federal'!P75</f>
        <v>0.1</v>
      </c>
      <c r="Q104" s="265"/>
      <c r="R104" s="278"/>
      <c r="S104" s="265"/>
      <c r="T104" s="278"/>
      <c r="U104" s="265"/>
      <c r="V104" s="278"/>
      <c r="W104" s="265"/>
      <c r="X104" s="278"/>
      <c r="Y104" s="265"/>
      <c r="Z104" s="521"/>
      <c r="AA104" s="265"/>
      <c r="AB104" s="254"/>
      <c r="AC104" s="265">
        <f>ROUND(SUM(D104:Z104),1)</f>
        <v>1</v>
      </c>
      <c r="AD104" s="265"/>
      <c r="AE104" s="254"/>
      <c r="AF104" s="265">
        <f>'Exhibit G state'!AH103+'Exhibit G Federal'!AH75</f>
        <v>4.9000000000000004</v>
      </c>
      <c r="AG104" s="520"/>
      <c r="AH104" s="253"/>
      <c r="AI104" s="2176">
        <f>ROUND(SUM(+AC104-AF104),1)</f>
        <v>-3.9</v>
      </c>
      <c r="AJ104" s="1021"/>
      <c r="AK104" s="2040">
        <f>ROUND(IF(AF104=0,0,AI104/(AF104)),3)</f>
        <v>-0.79600000000000004</v>
      </c>
    </row>
    <row r="105" spans="1:45" ht="15" customHeight="1">
      <c r="A105" s="227"/>
      <c r="B105" s="227"/>
      <c r="C105" s="227"/>
      <c r="D105" s="293"/>
      <c r="E105" s="265"/>
      <c r="F105" s="293"/>
      <c r="G105" s="265"/>
      <c r="H105" s="293"/>
      <c r="I105" s="265"/>
      <c r="J105" s="293"/>
      <c r="K105" s="265"/>
      <c r="L105" s="293"/>
      <c r="M105" s="265"/>
      <c r="N105" s="293"/>
      <c r="O105" s="265"/>
      <c r="P105" s="293"/>
      <c r="Q105" s="265"/>
      <c r="R105" s="293"/>
      <c r="S105" s="265"/>
      <c r="T105" s="293"/>
      <c r="U105" s="265"/>
      <c r="V105" s="293"/>
      <c r="W105" s="265"/>
      <c r="X105" s="293"/>
      <c r="Y105" s="265"/>
      <c r="Z105" s="293"/>
      <c r="AA105" s="265"/>
      <c r="AB105" s="254"/>
      <c r="AC105" s="293"/>
      <c r="AD105" s="265"/>
      <c r="AE105" s="254"/>
      <c r="AF105" s="293"/>
      <c r="AG105" s="520"/>
      <c r="AH105" s="253"/>
      <c r="AI105" s="3143"/>
      <c r="AK105" s="3148"/>
    </row>
    <row r="106" spans="1:45" ht="15" customHeight="1">
      <c r="A106" s="227"/>
      <c r="B106" s="225" t="s">
        <v>164</v>
      </c>
      <c r="C106" s="227"/>
      <c r="D106" s="261">
        <f>ROUND(SUM(D99:D104),1)</f>
        <v>4937.5</v>
      </c>
      <c r="E106" s="261"/>
      <c r="F106" s="261">
        <f>ROUND(SUM(F99:F104),1)</f>
        <v>5451.3</v>
      </c>
      <c r="G106" s="261"/>
      <c r="H106" s="261">
        <f>ROUND(SUM(H99:H104),1)</f>
        <v>6256.2</v>
      </c>
      <c r="I106" s="261"/>
      <c r="J106" s="2154">
        <f>ROUND(SUM(J99:J104),1)</f>
        <v>5444.4</v>
      </c>
      <c r="K106" s="261"/>
      <c r="L106" s="2154">
        <f>ROUND(SUM(L99:L104),1)</f>
        <v>6353.9</v>
      </c>
      <c r="M106" s="261"/>
      <c r="N106" s="261">
        <f>ROUND(SUM(N99:N104),1)</f>
        <v>7511.2</v>
      </c>
      <c r="O106" s="261"/>
      <c r="P106" s="261">
        <f>ROUND(SUM(P99:P104),1)</f>
        <v>5681.4</v>
      </c>
      <c r="Q106" s="261"/>
      <c r="R106" s="261">
        <f>ROUND(SUM(R99:R104),1)</f>
        <v>0</v>
      </c>
      <c r="S106" s="261"/>
      <c r="T106" s="261">
        <f>ROUND(SUM(T99:T104),1)</f>
        <v>0</v>
      </c>
      <c r="U106" s="261"/>
      <c r="V106" s="261">
        <f>ROUND(SUM(V99:V104),1)</f>
        <v>0</v>
      </c>
      <c r="W106" s="261"/>
      <c r="X106" s="261">
        <f>ROUND(SUM(X99:X104),1)</f>
        <v>0</v>
      </c>
      <c r="Y106" s="261"/>
      <c r="Z106" s="261">
        <f>ROUND(SUM(Z99:Z104),1)</f>
        <v>0</v>
      </c>
      <c r="AA106" s="261"/>
      <c r="AB106" s="263"/>
      <c r="AC106" s="261">
        <f>ROUND(SUM(AC99:AC104),1)</f>
        <v>41635.9</v>
      </c>
      <c r="AD106" s="261"/>
      <c r="AE106" s="263"/>
      <c r="AF106" s="261">
        <f>ROUND(SUM(AF99:AF104),1)</f>
        <v>40224.800000000003</v>
      </c>
      <c r="AG106" s="527"/>
      <c r="AH106" s="277"/>
      <c r="AI106" s="275">
        <f>ROUND(SUM(AI99:AI104),1)</f>
        <v>1411.1</v>
      </c>
      <c r="AJ106" s="418"/>
      <c r="AK106" s="2204">
        <f>ROUND(SUM(+AI106/AF106),3)</f>
        <v>3.5000000000000003E-2</v>
      </c>
    </row>
    <row r="107" spans="1:45" ht="15" customHeight="1">
      <c r="A107" s="227"/>
      <c r="B107" s="227"/>
      <c r="C107" s="227"/>
      <c r="D107" s="293"/>
      <c r="E107" s="265"/>
      <c r="F107" s="293"/>
      <c r="G107" s="265"/>
      <c r="H107" s="293"/>
      <c r="I107" s="265"/>
      <c r="J107" s="293"/>
      <c r="K107" s="265"/>
      <c r="L107" s="293"/>
      <c r="M107" s="265"/>
      <c r="N107" s="293"/>
      <c r="O107" s="265"/>
      <c r="P107" s="293"/>
      <c r="Q107" s="265"/>
      <c r="R107" s="293"/>
      <c r="S107" s="265"/>
      <c r="T107" s="293"/>
      <c r="U107" s="265"/>
      <c r="V107" s="293"/>
      <c r="W107" s="265"/>
      <c r="X107" s="293"/>
      <c r="Y107" s="265"/>
      <c r="Z107" s="293"/>
      <c r="AA107" s="265"/>
      <c r="AB107" s="254"/>
      <c r="AC107" s="293"/>
      <c r="AD107" s="265"/>
      <c r="AE107" s="254"/>
      <c r="AF107" s="293"/>
      <c r="AG107" s="520"/>
      <c r="AH107" s="253"/>
      <c r="AI107" s="1214"/>
      <c r="AK107" s="2201"/>
    </row>
    <row r="108" spans="1:45" ht="15" customHeight="1">
      <c r="A108" s="227"/>
      <c r="B108" s="225" t="s">
        <v>165</v>
      </c>
      <c r="C108" s="227"/>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54"/>
      <c r="AC108" s="265" t="s">
        <v>166</v>
      </c>
      <c r="AD108" s="1770"/>
      <c r="AE108" s="1771"/>
      <c r="AF108" s="265"/>
      <c r="AG108" s="534"/>
      <c r="AH108" s="535"/>
      <c r="AI108" s="1214"/>
      <c r="AK108" s="2201"/>
    </row>
    <row r="109" spans="1:45" ht="15" customHeight="1">
      <c r="A109" s="227"/>
      <c r="B109" s="225" t="s">
        <v>46</v>
      </c>
      <c r="C109" s="227"/>
      <c r="D109" s="261">
        <f>ROUND(SUM(D85-D106),1)</f>
        <v>-494.9</v>
      </c>
      <c r="E109" s="261"/>
      <c r="F109" s="261">
        <f>ROUND(SUM(F85-F106),1)</f>
        <v>15.6</v>
      </c>
      <c r="G109" s="261"/>
      <c r="H109" s="261">
        <f>ROUND(SUM(H85-H106),1)</f>
        <v>-149.30000000000001</v>
      </c>
      <c r="I109" s="261"/>
      <c r="J109" s="2154">
        <f>ROUND(SUM(J85-J106),1)</f>
        <v>-566.20000000000005</v>
      </c>
      <c r="K109" s="261"/>
      <c r="L109" s="2154">
        <f>ROUND(SUM(L85-L106),1)</f>
        <v>-689</v>
      </c>
      <c r="M109" s="261"/>
      <c r="N109" s="261">
        <f>ROUND(SUM(N85-N106),1)</f>
        <v>-1240.0999999999999</v>
      </c>
      <c r="O109" s="261"/>
      <c r="P109" s="261">
        <f>ROUND(SUM(P85-P106),1)</f>
        <v>-261.5</v>
      </c>
      <c r="Q109" s="261"/>
      <c r="R109" s="261">
        <f>ROUND(SUM(R85-R106),1)</f>
        <v>0</v>
      </c>
      <c r="S109" s="261"/>
      <c r="T109" s="261">
        <f>ROUND(SUM(T85-T106),1)</f>
        <v>0</v>
      </c>
      <c r="U109" s="261"/>
      <c r="V109" s="261">
        <f>ROUND(SUM(V85-V106),1)</f>
        <v>0</v>
      </c>
      <c r="W109" s="261"/>
      <c r="X109" s="261">
        <f>ROUND(SUM(X85-X106),1)</f>
        <v>0</v>
      </c>
      <c r="Y109" s="261"/>
      <c r="Z109" s="261">
        <f>ROUND(SUM(Z85-Z106),1)</f>
        <v>0</v>
      </c>
      <c r="AA109" s="261"/>
      <c r="AB109" s="263"/>
      <c r="AC109" s="261">
        <f>ROUND(SUM(AC85-AC106),1)</f>
        <v>-3385.4</v>
      </c>
      <c r="AD109" s="261"/>
      <c r="AE109" s="263"/>
      <c r="AF109" s="261">
        <f>ROUND(SUM(AF85-AF106),1)</f>
        <v>-2993.4</v>
      </c>
      <c r="AG109" s="527"/>
      <c r="AH109" s="277"/>
      <c r="AI109" s="1883">
        <f>ROUND(SUM(AI85-AI106),1)</f>
        <v>-392</v>
      </c>
      <c r="AJ109" s="417"/>
      <c r="AK109" s="2204">
        <f>-ROUND(SUM(+AI109/AF109),3)</f>
        <v>-0.13100000000000001</v>
      </c>
    </row>
    <row r="110" spans="1:45" ht="15" customHeight="1">
      <c r="A110" s="227"/>
      <c r="B110" s="227"/>
      <c r="C110" s="227"/>
      <c r="D110" s="293"/>
      <c r="E110" s="265"/>
      <c r="F110" s="293"/>
      <c r="G110" s="265"/>
      <c r="H110" s="293"/>
      <c r="I110" s="265"/>
      <c r="J110" s="293"/>
      <c r="K110" s="265"/>
      <c r="L110" s="293"/>
      <c r="M110" s="265"/>
      <c r="N110" s="293"/>
      <c r="O110" s="265"/>
      <c r="P110" s="293"/>
      <c r="Q110" s="265"/>
      <c r="R110" s="293"/>
      <c r="S110" s="265"/>
      <c r="T110" s="293"/>
      <c r="U110" s="265"/>
      <c r="V110" s="293"/>
      <c r="W110" s="265"/>
      <c r="X110" s="293"/>
      <c r="Y110" s="265"/>
      <c r="Z110" s="293"/>
      <c r="AA110" s="265"/>
      <c r="AB110" s="254"/>
      <c r="AC110" s="293"/>
      <c r="AD110" s="265"/>
      <c r="AE110" s="254"/>
      <c r="AF110" s="293"/>
      <c r="AG110" s="520"/>
      <c r="AH110" s="253"/>
      <c r="AI110" s="1214"/>
      <c r="AK110" s="2201"/>
    </row>
    <row r="111" spans="1:45" ht="15" customHeight="1">
      <c r="A111" s="227"/>
      <c r="B111" s="225" t="s">
        <v>47</v>
      </c>
      <c r="C111" s="227"/>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54"/>
      <c r="AC111" s="265"/>
      <c r="AD111" s="265"/>
      <c r="AE111" s="254"/>
      <c r="AF111" s="265"/>
      <c r="AG111" s="520"/>
      <c r="AH111" s="253"/>
      <c r="AI111" s="1214"/>
      <c r="AK111" s="2201"/>
    </row>
    <row r="112" spans="1:45" ht="15" customHeight="1">
      <c r="A112" s="227"/>
      <c r="B112" s="227" t="s">
        <v>182</v>
      </c>
      <c r="C112" s="227"/>
      <c r="D112" s="1372">
        <v>593.4</v>
      </c>
      <c r="E112" s="265"/>
      <c r="F112" s="278">
        <v>688.7</v>
      </c>
      <c r="G112" s="265"/>
      <c r="H112" s="323">
        <v>782.6</v>
      </c>
      <c r="I112" s="265"/>
      <c r="J112" s="323">
        <v>392.9</v>
      </c>
      <c r="K112" s="265"/>
      <c r="L112" s="323">
        <v>713.2</v>
      </c>
      <c r="M112" s="265"/>
      <c r="N112" s="278">
        <v>899.2</v>
      </c>
      <c r="O112" s="265"/>
      <c r="P112" s="278">
        <v>345.6</v>
      </c>
      <c r="Q112" s="265"/>
      <c r="R112" s="278"/>
      <c r="S112" s="265"/>
      <c r="T112" s="278"/>
      <c r="U112" s="265"/>
      <c r="V112" s="278"/>
      <c r="W112" s="265"/>
      <c r="X112" s="278"/>
      <c r="Y112" s="265"/>
      <c r="Z112" s="521"/>
      <c r="AA112" s="265"/>
      <c r="AB112" s="254"/>
      <c r="AC112" s="265">
        <f>ROUND(SUM(D112:Z112),1)</f>
        <v>4415.6000000000004</v>
      </c>
      <c r="AD112" s="265"/>
      <c r="AE112" s="254"/>
      <c r="AF112" s="265">
        <f>'Exhibit G state'!AH111+'Exhibit G Federal'!AH83</f>
        <v>4565.6000000000004</v>
      </c>
      <c r="AG112" s="520"/>
      <c r="AH112" s="253"/>
      <c r="AI112" s="2176">
        <f>ROUND(SUM(+AC112-AF112),1)</f>
        <v>-150</v>
      </c>
      <c r="AJ112" s="1021"/>
      <c r="AK112" s="2040">
        <f>ROUND(IF(AF112=0,0,AI112/(AF112)),3)</f>
        <v>-3.3000000000000002E-2</v>
      </c>
    </row>
    <row r="113" spans="1:48" ht="15" customHeight="1">
      <c r="A113" s="227"/>
      <c r="B113" s="227" t="s">
        <v>183</v>
      </c>
      <c r="C113" s="227"/>
      <c r="D113" s="1372">
        <v>-288.8</v>
      </c>
      <c r="E113" s="265"/>
      <c r="F113" s="278">
        <v>-169.4</v>
      </c>
      <c r="G113" s="265"/>
      <c r="H113" s="323">
        <v>-154.9</v>
      </c>
      <c r="I113" s="265"/>
      <c r="J113" s="323">
        <v>-83.9</v>
      </c>
      <c r="K113" s="265"/>
      <c r="L113" s="323">
        <v>-263.8</v>
      </c>
      <c r="M113" s="265"/>
      <c r="N113" s="278">
        <v>-199.2</v>
      </c>
      <c r="O113" s="265"/>
      <c r="P113" s="279">
        <v>-271.2</v>
      </c>
      <c r="Q113" s="265"/>
      <c r="R113" s="278"/>
      <c r="S113" s="265"/>
      <c r="T113" s="278"/>
      <c r="U113" s="265"/>
      <c r="V113" s="278"/>
      <c r="W113" s="265"/>
      <c r="X113" s="278"/>
      <c r="Y113" s="265"/>
      <c r="Z113" s="521"/>
      <c r="AA113" s="265"/>
      <c r="AB113" s="254"/>
      <c r="AC113" s="265">
        <f>ROUND(SUM(D113:Z113),1)</f>
        <v>-1431.2</v>
      </c>
      <c r="AD113" s="265"/>
      <c r="AE113" s="254"/>
      <c r="AF113" s="323">
        <f>'Exhibit G state'!AH112+'Exhibit G Federal'!AH84</f>
        <v>-1756.2</v>
      </c>
      <c r="AG113" s="520"/>
      <c r="AH113" s="253"/>
      <c r="AI113" s="2176">
        <f>ROUND(SUM(+AC113-AF113)*-1,1)</f>
        <v>-325</v>
      </c>
      <c r="AJ113" s="1021"/>
      <c r="AK113" s="2040">
        <f>-ROUND(IF(AF113=0,0,AI113/(AF113)),3)</f>
        <v>-0.185</v>
      </c>
    </row>
    <row r="114" spans="1:48" ht="15" customHeight="1">
      <c r="A114" s="227"/>
      <c r="B114" s="227"/>
      <c r="C114" s="227"/>
      <c r="D114" s="293"/>
      <c r="E114" s="265"/>
      <c r="F114" s="293"/>
      <c r="G114" s="265"/>
      <c r="H114" s="293"/>
      <c r="I114" s="265"/>
      <c r="J114" s="293"/>
      <c r="K114" s="265"/>
      <c r="L114" s="293"/>
      <c r="M114" s="265"/>
      <c r="N114" s="293"/>
      <c r="O114" s="265"/>
      <c r="P114" s="293"/>
      <c r="Q114" s="265"/>
      <c r="R114" s="293"/>
      <c r="S114" s="265"/>
      <c r="T114" s="293"/>
      <c r="U114" s="265"/>
      <c r="V114" s="293"/>
      <c r="W114" s="265"/>
      <c r="X114" s="293"/>
      <c r="Y114" s="265"/>
      <c r="Z114" s="293"/>
      <c r="AA114" s="265"/>
      <c r="AB114" s="254"/>
      <c r="AC114" s="293"/>
      <c r="AD114" s="265"/>
      <c r="AE114" s="254"/>
      <c r="AF114" s="293"/>
      <c r="AG114" s="520"/>
      <c r="AH114" s="253"/>
      <c r="AI114" s="3143"/>
      <c r="AK114" s="3148"/>
    </row>
    <row r="115" spans="1:48" ht="15" customHeight="1">
      <c r="A115" s="227"/>
      <c r="B115" s="225" t="s">
        <v>1682</v>
      </c>
      <c r="C115" s="227"/>
      <c r="D115" s="261">
        <f>ROUND(SUM(D112:D113),1)</f>
        <v>304.60000000000002</v>
      </c>
      <c r="E115" s="261"/>
      <c r="F115" s="261">
        <f>ROUND(SUM(F112:F113),1)</f>
        <v>519.29999999999995</v>
      </c>
      <c r="G115" s="261"/>
      <c r="H115" s="261">
        <f>ROUND(SUM(H112:H113),1)</f>
        <v>627.70000000000005</v>
      </c>
      <c r="I115" s="261"/>
      <c r="J115" s="2154">
        <f>ROUND(SUM(J112:J113),1)</f>
        <v>309</v>
      </c>
      <c r="K115" s="261"/>
      <c r="L115" s="2154">
        <f>ROUND(SUM(L112:L113),1)</f>
        <v>449.4</v>
      </c>
      <c r="M115" s="261"/>
      <c r="N115" s="261">
        <f>ROUND(SUM(N112:N113),1)</f>
        <v>700</v>
      </c>
      <c r="O115" s="261"/>
      <c r="P115" s="261">
        <f>ROUND(SUM(P112:P113),1)</f>
        <v>74.400000000000006</v>
      </c>
      <c r="Q115" s="261"/>
      <c r="R115" s="261">
        <f>ROUND(SUM(R112:R113),1)</f>
        <v>0</v>
      </c>
      <c r="S115" s="261"/>
      <c r="T115" s="261">
        <f>ROUND(SUM(T112:T113),1)</f>
        <v>0</v>
      </c>
      <c r="U115" s="261"/>
      <c r="V115" s="261">
        <f>ROUND(SUM(V112:V113),1)</f>
        <v>0</v>
      </c>
      <c r="W115" s="261"/>
      <c r="X115" s="261">
        <f>ROUND(SUM(X112:X113),1)</f>
        <v>0</v>
      </c>
      <c r="Y115" s="261"/>
      <c r="Z115" s="261">
        <f>ROUND(SUM(Z112:Z113),1)</f>
        <v>0</v>
      </c>
      <c r="AA115" s="261"/>
      <c r="AB115" s="263"/>
      <c r="AC115" s="261">
        <f>ROUND(SUM(AC112:AC113),1)</f>
        <v>2984.4</v>
      </c>
      <c r="AD115" s="261"/>
      <c r="AE115" s="263"/>
      <c r="AF115" s="261">
        <f>ROUND(SUM(AF112:AF113),1)</f>
        <v>2809.4</v>
      </c>
      <c r="AG115" s="527"/>
      <c r="AH115" s="277"/>
      <c r="AI115" s="275">
        <f>ROUND(SUM(AC115-AF115),1)</f>
        <v>175</v>
      </c>
      <c r="AJ115" s="373"/>
      <c r="AK115" s="2204">
        <f>ROUND(SUM(+AI115/AF115),3)</f>
        <v>6.2E-2</v>
      </c>
    </row>
    <row r="116" spans="1:48" ht="15" customHeight="1">
      <c r="A116" s="227"/>
      <c r="B116" s="227"/>
      <c r="C116" s="227"/>
      <c r="D116" s="293"/>
      <c r="E116" s="265"/>
      <c r="F116" s="293"/>
      <c r="G116" s="265"/>
      <c r="H116" s="293"/>
      <c r="I116" s="265"/>
      <c r="J116" s="293"/>
      <c r="K116" s="265"/>
      <c r="L116" s="293"/>
      <c r="M116" s="265"/>
      <c r="N116" s="293"/>
      <c r="O116" s="265"/>
      <c r="P116" s="293"/>
      <c r="Q116" s="265"/>
      <c r="R116" s="293"/>
      <c r="S116" s="265"/>
      <c r="T116" s="293"/>
      <c r="U116" s="265"/>
      <c r="V116" s="293"/>
      <c r="W116" s="265"/>
      <c r="X116" s="293"/>
      <c r="Y116" s="265"/>
      <c r="Z116" s="293"/>
      <c r="AA116" s="265"/>
      <c r="AB116" s="254"/>
      <c r="AC116" s="293"/>
      <c r="AD116" s="265"/>
      <c r="AE116" s="254"/>
      <c r="AF116" s="293"/>
      <c r="AG116" s="520"/>
      <c r="AH116" s="253"/>
      <c r="AI116" s="1214"/>
      <c r="AK116" s="2201"/>
    </row>
    <row r="117" spans="1:48" ht="15" customHeight="1">
      <c r="A117" s="227"/>
      <c r="B117" s="225" t="s">
        <v>174</v>
      </c>
      <c r="C117" s="227"/>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54"/>
      <c r="AC117" s="265"/>
      <c r="AD117" s="265"/>
      <c r="AE117" s="254"/>
      <c r="AF117" s="265"/>
      <c r="AG117" s="520"/>
      <c r="AH117" s="253"/>
      <c r="AI117" s="1214"/>
      <c r="AK117" s="2201"/>
    </row>
    <row r="118" spans="1:48" ht="15" customHeight="1">
      <c r="A118" s="227"/>
      <c r="B118" s="225" t="s">
        <v>175</v>
      </c>
      <c r="C118" s="227"/>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54"/>
      <c r="AC118" s="265"/>
      <c r="AD118" s="265"/>
      <c r="AE118" s="254"/>
      <c r="AF118" s="265"/>
      <c r="AG118" s="520"/>
      <c r="AH118" s="253"/>
      <c r="AI118" s="1214"/>
      <c r="AK118" s="2201"/>
    </row>
    <row r="119" spans="1:48" ht="15" customHeight="1">
      <c r="A119" s="227"/>
      <c r="B119" s="225" t="s">
        <v>1683</v>
      </c>
      <c r="C119" s="227"/>
      <c r="D119" s="261">
        <f>ROUND(SUM(D109+D115),1)</f>
        <v>-190.3</v>
      </c>
      <c r="E119" s="261"/>
      <c r="F119" s="261">
        <f>ROUND(SUM(F109+F115),1)</f>
        <v>534.9</v>
      </c>
      <c r="G119" s="261"/>
      <c r="H119" s="261">
        <f>ROUND(SUM(H109+H115),1)</f>
        <v>478.4</v>
      </c>
      <c r="I119" s="261"/>
      <c r="J119" s="2154">
        <f>ROUND(SUM(J109+J115),1)</f>
        <v>-257.2</v>
      </c>
      <c r="K119" s="261"/>
      <c r="L119" s="2154">
        <f>ROUND(SUM(L109+L115),1)</f>
        <v>-239.6</v>
      </c>
      <c r="M119" s="261"/>
      <c r="N119" s="261">
        <f>ROUND(SUM(N109+N115),1)</f>
        <v>-540.1</v>
      </c>
      <c r="O119" s="261"/>
      <c r="P119" s="261">
        <f>ROUND(SUM(P109+P115),1)</f>
        <v>-187.1</v>
      </c>
      <c r="Q119" s="265"/>
      <c r="R119" s="261">
        <f>ROUND(SUM(R109+R115),1)</f>
        <v>0</v>
      </c>
      <c r="S119" s="261"/>
      <c r="T119" s="261">
        <f>ROUND(SUM(T109+T115),1)</f>
        <v>0</v>
      </c>
      <c r="U119" s="261"/>
      <c r="V119" s="261">
        <f>ROUND(SUM(V109+V115),1)</f>
        <v>0</v>
      </c>
      <c r="W119" s="261"/>
      <c r="X119" s="261">
        <f>ROUND(SUM(X109+X115),1)</f>
        <v>0</v>
      </c>
      <c r="Y119" s="261"/>
      <c r="Z119" s="261">
        <f>ROUND(SUM(Z109+Z115),1)</f>
        <v>0</v>
      </c>
      <c r="AA119" s="261"/>
      <c r="AB119" s="263"/>
      <c r="AC119" s="261">
        <f>ROUND(SUM(AC109+AC115),1)</f>
        <v>-401</v>
      </c>
      <c r="AD119" s="261"/>
      <c r="AE119" s="263"/>
      <c r="AF119" s="261">
        <f>ROUND(SUM(AF109+AF115),1)</f>
        <v>-184</v>
      </c>
      <c r="AG119" s="527"/>
      <c r="AH119" s="277"/>
      <c r="AI119" s="275">
        <f>ROUND(SUM(AC119-AF119),1)</f>
        <v>-217</v>
      </c>
      <c r="AJ119" s="417"/>
      <c r="AK119" s="2204">
        <f>ROUND(SUM(AI119/AF119),3)*-1</f>
        <v>-1.179</v>
      </c>
    </row>
    <row r="120" spans="1:48" ht="15" customHeight="1">
      <c r="A120" s="227"/>
      <c r="B120" s="227"/>
      <c r="C120" s="227"/>
      <c r="D120" s="239"/>
      <c r="F120" s="239"/>
      <c r="H120" s="239"/>
      <c r="J120" s="239"/>
      <c r="L120" s="239"/>
      <c r="N120" s="239"/>
      <c r="P120" s="239"/>
      <c r="R120" s="239"/>
      <c r="T120" s="239"/>
      <c r="V120" s="239"/>
      <c r="X120" s="239"/>
      <c r="Z120" s="239"/>
      <c r="AB120" s="420"/>
      <c r="AC120" s="239"/>
      <c r="AE120" s="420"/>
      <c r="AF120" s="239"/>
      <c r="AG120" s="519"/>
      <c r="AH120" s="233"/>
      <c r="AI120" s="2150"/>
      <c r="AK120" s="2201"/>
    </row>
    <row r="121" spans="1:48" ht="15" customHeight="1" thickBot="1">
      <c r="A121" s="227"/>
      <c r="B121" s="225" t="s">
        <v>1684</v>
      </c>
      <c r="C121" s="227"/>
      <c r="D121" s="299">
        <f>ROUND(SUM(D14+D119),1)</f>
        <v>2172.6</v>
      </c>
      <c r="E121" s="299"/>
      <c r="F121" s="299">
        <f>ROUND(SUM(F14+F119),1)</f>
        <v>2707.5</v>
      </c>
      <c r="G121" s="299"/>
      <c r="H121" s="299">
        <f>ROUND(SUM(H14+H119),1)</f>
        <v>3185.9</v>
      </c>
      <c r="I121" s="299"/>
      <c r="J121" s="299">
        <f>ROUND(SUM(J14+J119),1)</f>
        <v>2928.7</v>
      </c>
      <c r="K121" s="299"/>
      <c r="L121" s="299">
        <f>ROUND(SUM(L14+L119),1)</f>
        <v>2689.1</v>
      </c>
      <c r="M121" s="299"/>
      <c r="N121" s="299">
        <f>ROUND(SUM(N14+N119),1)</f>
        <v>2149</v>
      </c>
      <c r="O121" s="299"/>
      <c r="P121" s="299">
        <f>ROUND(SUM(P14+P119),1)</f>
        <v>1961.9</v>
      </c>
      <c r="Q121" s="299"/>
      <c r="R121" s="299">
        <f>ROUND(SUM(R14+R119),1)</f>
        <v>0</v>
      </c>
      <c r="S121" s="299"/>
      <c r="T121" s="299">
        <f>ROUND(SUM(T14+T119),1)</f>
        <v>0</v>
      </c>
      <c r="U121" s="299"/>
      <c r="V121" s="299">
        <f>ROUND(SUM(V14+V119),1)</f>
        <v>0</v>
      </c>
      <c r="W121" s="299"/>
      <c r="X121" s="299">
        <f>ROUND(SUM(X14+X119),1)</f>
        <v>0</v>
      </c>
      <c r="Y121" s="299"/>
      <c r="Z121" s="299">
        <f>ROUND(SUM(Z14+Z119),1)</f>
        <v>0</v>
      </c>
      <c r="AA121" s="299"/>
      <c r="AB121" s="300"/>
      <c r="AC121" s="299">
        <f>ROUND(SUM(AC14+AC119),1)</f>
        <v>1961.9</v>
      </c>
      <c r="AD121" s="299"/>
      <c r="AE121" s="300"/>
      <c r="AF121" s="508">
        <f>ROUND(SUM(AF14+AF119),1)</f>
        <v>2189.3000000000002</v>
      </c>
      <c r="AG121" s="516"/>
      <c r="AH121" s="429"/>
      <c r="AI121" s="508">
        <f>ROUND(SUM(AC121-AF121),1)</f>
        <v>-227.4</v>
      </c>
      <c r="AJ121" s="389"/>
      <c r="AK121" s="536">
        <f>ROUND(SUM(+AI121/AF121),3)</f>
        <v>-0.104</v>
      </c>
      <c r="AL121" s="511"/>
      <c r="AM121" s="511"/>
      <c r="AN121" s="511"/>
      <c r="AO121" s="511"/>
      <c r="AP121" s="511"/>
      <c r="AQ121" s="511"/>
      <c r="AR121" s="511"/>
      <c r="AS121" s="511"/>
      <c r="AT121" s="511"/>
      <c r="AU121" s="511"/>
      <c r="AV121" s="511"/>
    </row>
    <row r="122" spans="1:48" ht="15" customHeight="1" thickTop="1">
      <c r="A122" s="227"/>
      <c r="B122" s="227"/>
      <c r="C122" s="227"/>
      <c r="D122" s="537"/>
      <c r="E122" s="511"/>
      <c r="F122" s="537"/>
      <c r="G122" s="511"/>
      <c r="H122" s="537"/>
      <c r="I122" s="511"/>
      <c r="J122" s="537"/>
      <c r="K122" s="511"/>
      <c r="L122" s="537"/>
      <c r="M122" s="511"/>
      <c r="N122" s="537"/>
      <c r="O122" s="511"/>
      <c r="P122" s="537"/>
      <c r="Q122" s="511"/>
      <c r="R122" s="537"/>
      <c r="S122" s="511"/>
      <c r="T122" s="537"/>
      <c r="U122" s="511"/>
      <c r="V122" s="537"/>
      <c r="W122" s="511"/>
      <c r="X122" s="537"/>
      <c r="Y122" s="511"/>
      <c r="Z122" s="537"/>
      <c r="AA122" s="511"/>
      <c r="AB122" s="511"/>
      <c r="AC122" s="537"/>
      <c r="AD122" s="511"/>
      <c r="AE122" s="511"/>
      <c r="AF122" s="538"/>
      <c r="AG122" s="538"/>
      <c r="AH122" s="511"/>
      <c r="AI122" s="3144"/>
      <c r="AJ122" s="511"/>
      <c r="AK122" s="2201"/>
      <c r="AL122" s="511"/>
      <c r="AM122" s="511"/>
      <c r="AN122" s="511"/>
      <c r="AO122" s="511"/>
      <c r="AP122" s="511"/>
      <c r="AQ122" s="511"/>
      <c r="AR122" s="511"/>
      <c r="AS122" s="511"/>
      <c r="AT122" s="511"/>
      <c r="AU122" s="511"/>
      <c r="AV122" s="511"/>
    </row>
    <row r="123" spans="1:48" ht="15" customHeight="1">
      <c r="A123" s="227"/>
      <c r="B123" s="227"/>
      <c r="C123" s="227"/>
      <c r="D123" s="538"/>
      <c r="E123" s="538"/>
      <c r="F123" s="538"/>
      <c r="G123" s="538"/>
      <c r="H123" s="538"/>
      <c r="I123" s="538"/>
      <c r="J123" s="538"/>
      <c r="K123" s="538"/>
      <c r="L123" s="538"/>
      <c r="M123" s="538"/>
      <c r="N123" s="538"/>
      <c r="O123" s="538"/>
      <c r="P123" s="538"/>
      <c r="Q123" s="538"/>
      <c r="R123" s="538"/>
      <c r="S123" s="538"/>
      <c r="T123" s="538"/>
      <c r="U123" s="538"/>
      <c r="V123" s="538"/>
      <c r="W123" s="538"/>
      <c r="X123" s="538"/>
      <c r="Y123" s="538"/>
      <c r="Z123" s="538"/>
      <c r="AA123" s="538"/>
      <c r="AB123" s="538"/>
      <c r="AC123" s="538"/>
      <c r="AD123" s="538"/>
      <c r="AE123" s="538"/>
      <c r="AF123" s="538"/>
      <c r="AG123" s="538"/>
      <c r="AH123" s="511"/>
      <c r="AI123" s="3144"/>
      <c r="AJ123" s="511"/>
      <c r="AK123" s="2201"/>
      <c r="AL123" s="511"/>
      <c r="AM123" s="511"/>
      <c r="AN123" s="511"/>
      <c r="AO123" s="511"/>
      <c r="AP123" s="511"/>
      <c r="AQ123" s="511"/>
      <c r="AR123" s="511"/>
      <c r="AS123" s="511"/>
      <c r="AT123" s="511"/>
      <c r="AU123" s="511"/>
      <c r="AV123" s="511"/>
    </row>
    <row r="124" spans="1:48" ht="15" customHeight="1">
      <c r="A124" s="503"/>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c r="AA124" s="511"/>
      <c r="AB124" s="511"/>
      <c r="AC124" s="511"/>
      <c r="AD124" s="511"/>
      <c r="AE124" s="511"/>
      <c r="AF124" s="511"/>
      <c r="AG124" s="511"/>
      <c r="AH124" s="511"/>
      <c r="AI124" s="3144"/>
      <c r="AJ124" s="511"/>
      <c r="AK124" s="2201"/>
      <c r="AL124" s="511"/>
      <c r="AM124" s="511"/>
      <c r="AN124" s="511"/>
      <c r="AO124" s="511"/>
      <c r="AP124" s="511"/>
      <c r="AQ124" s="511"/>
      <c r="AR124" s="511"/>
      <c r="AS124" s="511"/>
      <c r="AT124" s="511"/>
      <c r="AU124" s="511"/>
      <c r="AV124" s="511"/>
    </row>
    <row r="125" spans="1:48" ht="15" customHeight="1">
      <c r="D125" s="511"/>
      <c r="E125" s="511"/>
      <c r="F125" s="511"/>
      <c r="G125" s="511"/>
      <c r="H125" s="511"/>
      <c r="I125" s="511"/>
      <c r="J125" s="511"/>
      <c r="K125" s="511"/>
      <c r="L125" s="511"/>
      <c r="M125" s="511"/>
      <c r="N125" s="511"/>
      <c r="O125" s="511"/>
      <c r="P125" s="511"/>
      <c r="Q125" s="511"/>
      <c r="R125" s="511"/>
      <c r="S125" s="511"/>
      <c r="T125" s="511"/>
      <c r="U125" s="511"/>
      <c r="V125" s="511"/>
      <c r="W125" s="511"/>
      <c r="X125" s="511"/>
      <c r="Y125" s="511"/>
      <c r="Z125" s="511"/>
      <c r="AA125" s="511"/>
      <c r="AB125" s="511"/>
      <c r="AC125" s="511"/>
      <c r="AD125" s="511"/>
      <c r="AE125" s="511"/>
      <c r="AF125" s="511"/>
      <c r="AG125" s="511"/>
      <c r="AH125" s="511"/>
      <c r="AI125" s="3144"/>
      <c r="AJ125" s="511"/>
      <c r="AK125" s="2201"/>
      <c r="AL125" s="511"/>
      <c r="AM125" s="511"/>
      <c r="AN125" s="511"/>
      <c r="AO125" s="511"/>
      <c r="AP125" s="511"/>
      <c r="AQ125" s="511"/>
      <c r="AR125" s="511"/>
      <c r="AS125" s="511"/>
      <c r="AT125" s="511"/>
      <c r="AU125" s="511"/>
      <c r="AV125" s="511"/>
    </row>
    <row r="126" spans="1:48" ht="15" customHeight="1">
      <c r="AI126" s="2150"/>
      <c r="AK126" s="2201"/>
    </row>
    <row r="127" spans="1:48" ht="15" customHeight="1">
      <c r="AI127" s="2150"/>
      <c r="AK127" s="2201"/>
    </row>
    <row r="128" spans="1:48" ht="15" customHeight="1">
      <c r="AI128" s="2150"/>
      <c r="AK128" s="2201"/>
    </row>
    <row r="129" spans="35:37" ht="15" customHeight="1">
      <c r="AI129" s="2150"/>
      <c r="AK129" s="2201"/>
    </row>
    <row r="130" spans="35:37" ht="15" customHeight="1">
      <c r="AI130" s="2150"/>
      <c r="AK130" s="2201"/>
    </row>
    <row r="131" spans="35:37" ht="15" customHeight="1">
      <c r="AI131" s="2150"/>
      <c r="AK131" s="2201"/>
    </row>
    <row r="132" spans="35:37" ht="15" customHeight="1">
      <c r="AI132" s="2150"/>
      <c r="AK132" s="2201"/>
    </row>
    <row r="133" spans="35:37" ht="15" customHeight="1">
      <c r="AI133" s="2150"/>
      <c r="AK133" s="2201"/>
    </row>
    <row r="134" spans="35:37" ht="15" customHeight="1">
      <c r="AI134" s="2150"/>
      <c r="AK134" s="2201"/>
    </row>
    <row r="135" spans="35:37" ht="15" customHeight="1">
      <c r="AI135" s="2150"/>
      <c r="AK135" s="2201"/>
    </row>
    <row r="136" spans="35:37" ht="15" customHeight="1">
      <c r="AI136" s="2150"/>
      <c r="AK136" s="2201"/>
    </row>
    <row r="137" spans="35:37" ht="15" customHeight="1">
      <c r="AI137" s="2150"/>
      <c r="AK137" s="2201"/>
    </row>
    <row r="138" spans="35:37" ht="15" customHeight="1">
      <c r="AI138" s="2150"/>
      <c r="AK138" s="2201"/>
    </row>
    <row r="139" spans="35:37" ht="15" customHeight="1">
      <c r="AI139" s="2150"/>
      <c r="AK139" s="2201"/>
    </row>
    <row r="140" spans="35:37" ht="15" customHeight="1">
      <c r="AI140" s="2150"/>
      <c r="AK140" s="2201"/>
    </row>
    <row r="141" spans="35:37" ht="15" customHeight="1">
      <c r="AI141" s="2150"/>
      <c r="AK141" s="2201"/>
    </row>
    <row r="142" spans="35:37" ht="15" customHeight="1">
      <c r="AI142" s="2150"/>
      <c r="AK142" s="2201"/>
    </row>
    <row r="143" spans="35:37" ht="15" customHeight="1">
      <c r="AI143" s="2150"/>
      <c r="AK143" s="2201"/>
    </row>
    <row r="144" spans="35:37" ht="15" customHeight="1">
      <c r="AI144" s="2150"/>
      <c r="AK144" s="2201"/>
    </row>
    <row r="145" spans="35:37" ht="15" customHeight="1">
      <c r="AI145" s="2150"/>
      <c r="AK145" s="2201"/>
    </row>
    <row r="146" spans="35:37" ht="15" customHeight="1">
      <c r="AI146" s="2150"/>
      <c r="AK146" s="2201"/>
    </row>
    <row r="147" spans="35:37" ht="15" customHeight="1">
      <c r="AI147" s="2150"/>
      <c r="AK147" s="2201"/>
    </row>
    <row r="148" spans="35:37" ht="15" customHeight="1">
      <c r="AI148" s="2150"/>
      <c r="AK148" s="2201"/>
    </row>
    <row r="149" spans="35:37" ht="15" customHeight="1">
      <c r="AI149" s="2150"/>
      <c r="AK149" s="2201"/>
    </row>
    <row r="150" spans="35:37" ht="15" customHeight="1">
      <c r="AI150" s="2150"/>
      <c r="AK150" s="2201"/>
    </row>
    <row r="151" spans="35:37" ht="15" customHeight="1">
      <c r="AI151" s="2150"/>
      <c r="AK151" s="2201"/>
    </row>
    <row r="152" spans="35:37" ht="15" customHeight="1">
      <c r="AI152" s="2150"/>
      <c r="AK152" s="2201"/>
    </row>
    <row r="153" spans="35:37" ht="15" customHeight="1">
      <c r="AI153" s="2150"/>
      <c r="AK153" s="2201"/>
    </row>
    <row r="154" spans="35:37" ht="15" customHeight="1">
      <c r="AI154" s="2150"/>
      <c r="AK154" s="2201"/>
    </row>
    <row r="155" spans="35:37" ht="15" customHeight="1">
      <c r="AI155" s="2150"/>
      <c r="AK155" s="2201"/>
    </row>
    <row r="156" spans="35:37" ht="15" customHeight="1">
      <c r="AI156" s="2150"/>
      <c r="AK156" s="2201"/>
    </row>
    <row r="157" spans="35:37" ht="15" customHeight="1">
      <c r="AI157" s="2150"/>
      <c r="AK157" s="2201"/>
    </row>
    <row r="158" spans="35:37" ht="15" customHeight="1">
      <c r="AI158" s="2150"/>
      <c r="AK158" s="2201"/>
    </row>
    <row r="159" spans="35:37" ht="15" customHeight="1">
      <c r="AI159" s="2150"/>
      <c r="AK159" s="2201"/>
    </row>
    <row r="160" spans="35:37" ht="15" customHeight="1">
      <c r="AI160" s="2150"/>
      <c r="AK160" s="2201"/>
    </row>
    <row r="161" spans="35:37" ht="15" customHeight="1">
      <c r="AI161" s="2150"/>
      <c r="AK161" s="2201"/>
    </row>
    <row r="162" spans="35:37" ht="15" customHeight="1">
      <c r="AI162" s="2150"/>
      <c r="AK162" s="2201"/>
    </row>
    <row r="163" spans="35:37" ht="15" customHeight="1">
      <c r="AI163" s="2150"/>
      <c r="AK163" s="2201"/>
    </row>
    <row r="164" spans="35:37" ht="15" customHeight="1">
      <c r="AI164" s="2150"/>
      <c r="AK164" s="2201"/>
    </row>
    <row r="165" spans="35:37" ht="15" customHeight="1">
      <c r="AI165" s="2150"/>
      <c r="AK165" s="2201"/>
    </row>
    <row r="166" spans="35:37" ht="15" customHeight="1">
      <c r="AI166" s="2150"/>
      <c r="AK166" s="2201"/>
    </row>
    <row r="167" spans="35:37" ht="15" customHeight="1">
      <c r="AI167" s="2150"/>
      <c r="AK167" s="2201"/>
    </row>
    <row r="168" spans="35:37" ht="15" customHeight="1"/>
    <row r="169" spans="35:37" ht="15" customHeight="1"/>
    <row r="170" spans="35:37" ht="15" customHeight="1"/>
    <row r="171" spans="35:37" ht="15" customHeight="1"/>
    <row r="172" spans="35:37" ht="15" customHeight="1"/>
    <row r="173" spans="35:37" ht="15" customHeight="1"/>
  </sheetData>
  <customSheetViews>
    <customSheetView guid="{BD09DBC2-63A5-4D9C-9B00-4281066E9389}" scale="60" showPageBreaks="1" showGridLines="0" printArea="1" topLeftCell="J58">
      <selection activeCell="L81" sqref="L81"/>
      <rowBreaks count="1" manualBreakCount="1">
        <brk id="81" min="1" max="36" man="1"/>
      </rowBreaks>
      <pageMargins left="0.5" right="0.5" top="0.75" bottom="0.25" header="0" footer="0.25"/>
      <pageSetup scale="40" firstPageNumber="22" orientation="landscape" useFirstPageNumber="1" r:id="rId1"/>
      <headerFooter alignWithMargins="0">
        <oddFooter>&amp;C&amp;P</oddFooter>
      </headerFooter>
    </customSheetView>
    <customSheetView guid="{C82E0A7D-2B5B-48FC-A705-3168E651E04C}" scale="60" showPageBreaks="1" showGridLines="0" printArea="1" topLeftCell="A52">
      <selection activeCell="AC81" sqref="AC81"/>
      <rowBreaks count="1" manualBreakCount="1">
        <brk id="66" max="36" man="1"/>
      </rowBreaks>
      <pageMargins left="0.5" right="0.5" top="0.75" bottom="0.25" header="0" footer="0.25"/>
      <pageSetup scale="40" firstPageNumber="22" fitToHeight="2" orientation="landscape" useFirstPageNumber="1" r:id="rId2"/>
      <headerFooter scaleWithDoc="0" alignWithMargins="0">
        <oddFooter>&amp;C&amp;8&amp;P</oddFooter>
      </headerFooter>
    </customSheetView>
    <customSheetView guid="{A8B05C3B-0E7E-44A3-A097-AF4C5C09F04E}" scale="60" showPageBreaks="1" showGridLines="0" printArea="1">
      <selection activeCell="B17" sqref="B17:B18"/>
      <rowBreaks count="1" manualBreakCount="1">
        <brk id="65" max="36" man="1"/>
      </rowBreaks>
      <pageMargins left="0.5" right="0.5" top="0.75" bottom="0.25" header="0" footer="0.25"/>
      <pageSetup scale="40" firstPageNumber="22" fitToHeight="2" orientation="landscape" useFirstPageNumber="1" r:id="rId3"/>
      <headerFooter scaleWithDoc="0" alignWithMargins="0">
        <oddFooter>&amp;C&amp;8&amp;P</oddFooter>
      </headerFooter>
    </customSheetView>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4"/>
      <headerFooter scaleWithDoc="0" alignWithMargins="0">
        <oddFooter>&amp;C&amp;8&amp;P</oddFooter>
      </headerFooter>
    </customSheetView>
    <customSheetView guid="{4735AAE3-27B4-4549-AAB4-50ACA997F5F5}" scale="60" showPageBreaks="1" showGridLines="0" printArea="1" topLeftCell="A94">
      <selection activeCell="A61" sqref="A61"/>
      <rowBreaks count="1" manualBreakCount="1">
        <brk id="65" max="36" man="1"/>
      </rowBreaks>
      <pageMargins left="0.35" right="0.3" top="0.75" bottom="0.25" header="0" footer="0.25"/>
      <pageSetup scale="41" firstPageNumber="22" fitToHeight="2" orientation="landscape" useFirstPageNumber="1" r:id="rId5"/>
      <headerFooter scaleWithDoc="0" alignWithMargins="0">
        <oddFooter>&amp;C&amp;8&amp;P</oddFooter>
      </headerFooter>
    </customSheetView>
    <customSheetView guid="{80622567-647A-4891-B8EE-6B9E2C4DAC44}" showPageBreaks="1" showGridLines="0" fitToPage="1" printArea="1" topLeftCell="K80">
      <selection activeCell="T88" sqref="T88"/>
      <rowBreaks count="1" manualBreakCount="1">
        <brk id="71" max="36" man="1"/>
      </rowBreaks>
      <pageMargins left="0.5" right="0.5" top="0.75" bottom="0.25" header="0" footer="0.25"/>
      <pageSetup scale="40" firstPageNumber="22" fitToHeight="2" orientation="landscape" useFirstPageNumber="1" r:id="rId6"/>
      <headerFooter scaleWithDoc="0" alignWithMargins="0">
        <oddFooter>&amp;C&amp;8&amp;P</oddFooter>
      </headerFooter>
    </customSheetView>
    <customSheetView guid="{A97EE6C3-4DA8-41BD-BE43-F596EFCB43CA}" showPageBreaks="1" showGridLines="0" printArea="1" topLeftCell="R4">
      <selection activeCell="P90" sqref="P90"/>
      <rowBreaks count="1" manualBreakCount="1">
        <brk id="71" max="36" man="1"/>
      </rowBreaks>
      <pageMargins left="0.5" right="0.5" top="0.75" bottom="0.25" header="0" footer="0.25"/>
      <pageSetup scale="41" firstPageNumber="22" fitToHeight="2" orientation="landscape" useFirstPageNumber="1" r:id="rId7"/>
      <headerFooter scaleWithDoc="0" alignWithMargins="0">
        <oddFooter>&amp;C&amp;8&amp;P</oddFooter>
      </headerFooter>
    </customSheetView>
    <customSheetView guid="{90B76C5A-2FC4-40F0-8436-3E4F075A4887}" scale="70" showPageBreaks="1" showGridLines="0" printArea="1">
      <selection activeCell="T88" sqref="T88"/>
      <rowBreaks count="1" manualBreakCount="1">
        <brk id="71" max="36" man="1"/>
      </rowBreaks>
      <pageMargins left="0.5" right="0.5" top="0.75" bottom="0.25" header="0" footer="0.25"/>
      <pageSetup scale="40" firstPageNumber="22" fitToHeight="2" orientation="landscape" useFirstPageNumber="1" r:id="rId8"/>
      <headerFooter scaleWithDoc="0" alignWithMargins="0">
        <oddFooter>&amp;C&amp;8&amp;P</oddFooter>
      </headerFooter>
    </customSheetView>
  </customSheetViews>
  <pageMargins left="0.5" right="0.5" top="0.75" bottom="0.25" header="0" footer="0.25"/>
  <pageSetup scale="40" firstPageNumber="22" orientation="landscape" useFirstPageNumber="1" r:id="rId9"/>
  <headerFooter scaleWithDoc="0" alignWithMargins="0">
    <oddFooter>&amp;C&amp;8&amp;P</oddFooter>
  </headerFooter>
  <rowBreaks count="1" manualBreakCount="1">
    <brk id="81" min="1" max="36" man="1"/>
  </rowBreaks>
  <ignoredErrors>
    <ignoredError sqref="AK81:AK84 AK86:AK98 AK100:AK105 AK107:AK108 AK110:AK114 AK116:AK118 AK120 AK122 AK20:AK45 AK18 AK69 AK62 AK57 AK50 AK46:AK49 AK51:AK56 AK58:AK61 AK63:AK68 AK70:AK76 AK77:AK80" unlockedFormula="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70" workbookViewId="0"/>
  </sheetViews>
  <sheetFormatPr defaultColWidth="8.88671875" defaultRowHeight="11.25"/>
  <cols>
    <col min="1" max="1" width="35.21875" style="2" customWidth="1"/>
    <col min="2" max="2" width="9.33203125" style="2" customWidth="1"/>
    <col min="3" max="3" width="5.5546875" style="2" customWidth="1"/>
    <col min="4" max="4" width="12.6640625" style="1223" bestFit="1" customWidth="1"/>
    <col min="5" max="5" width="1.6640625" style="2" customWidth="1"/>
    <col min="6" max="6" width="13.44140625" style="2" customWidth="1"/>
    <col min="7" max="7" width="2.109375" style="2" customWidth="1"/>
    <col min="8" max="8" width="12.6640625" style="1223" bestFit="1" customWidth="1"/>
    <col min="9" max="9" width="1.88671875" style="2" customWidth="1"/>
    <col min="10" max="10" width="13.6640625" style="2" customWidth="1"/>
    <col min="11" max="11" width="1.88671875" style="2" customWidth="1"/>
    <col min="12" max="12" width="11.6640625" style="1223" customWidth="1"/>
    <col min="13" max="13" width="2" style="2" customWidth="1"/>
    <col min="14" max="14" width="13.6640625" style="2" customWidth="1"/>
    <col min="15" max="15" width="1.88671875" style="2" customWidth="1"/>
    <col min="16" max="16" width="13" style="2" customWidth="1"/>
    <col min="17" max="17" width="1.6640625" style="2" customWidth="1"/>
    <col min="18" max="18" width="13.21875" style="2" customWidth="1"/>
    <col min="19" max="21" width="1.109375" style="2" customWidth="1"/>
    <col min="22" max="22" width="12.6640625" style="1223" bestFit="1" customWidth="1"/>
    <col min="23" max="23" width="1.88671875" style="2" customWidth="1"/>
    <col min="24" max="24" width="13.6640625" style="2" customWidth="1"/>
    <col min="25" max="25" width="1.109375" style="2" customWidth="1"/>
    <col min="26" max="27" width="1.33203125" style="2" customWidth="1"/>
    <col min="28" max="28" width="12.109375" style="1223" customWidth="1"/>
    <col min="29" max="29" width="1.6640625" style="2" customWidth="1"/>
    <col min="30" max="30" width="13.6640625" style="139" customWidth="1"/>
    <col min="31" max="31" width="1" style="139" customWidth="1"/>
    <col min="32" max="32" width="1" style="2" customWidth="1"/>
    <col min="33" max="33" width="13.109375" style="2" bestFit="1" customWidth="1"/>
    <col min="34" max="34" width="1.6640625" style="2" customWidth="1"/>
    <col min="35" max="35" width="12.77734375" style="144" customWidth="1"/>
    <col min="36" max="36" width="19.109375" style="2" customWidth="1"/>
    <col min="37" max="16384" width="8.88671875" style="2"/>
  </cols>
  <sheetData>
    <row r="1" spans="1:38" ht="15">
      <c r="A1" s="1227" t="s">
        <v>1322</v>
      </c>
    </row>
    <row r="2" spans="1:38" ht="15">
      <c r="A2" s="1227"/>
    </row>
    <row r="3" spans="1:38" ht="20.25">
      <c r="A3" s="2659" t="s">
        <v>0</v>
      </c>
      <c r="B3" s="2660"/>
      <c r="C3" s="2660"/>
      <c r="D3" s="2660"/>
      <c r="E3" s="2660"/>
      <c r="F3" s="2660"/>
      <c r="G3" s="2660"/>
      <c r="H3" s="2660"/>
      <c r="I3" s="2660"/>
      <c r="J3" s="2660"/>
      <c r="K3" s="2660"/>
      <c r="L3" s="2660"/>
      <c r="M3" s="2660"/>
      <c r="N3" s="2660"/>
      <c r="O3" s="2660"/>
      <c r="P3" s="2660"/>
      <c r="Q3" s="2660"/>
      <c r="R3" s="2660"/>
      <c r="S3" s="2660"/>
      <c r="T3" s="2660"/>
      <c r="U3" s="2660"/>
      <c r="V3" s="2660"/>
      <c r="W3" s="2660"/>
      <c r="X3" s="2660"/>
      <c r="Y3" s="2660"/>
      <c r="Z3" s="2660"/>
      <c r="AA3" s="2660"/>
      <c r="AB3" s="2660"/>
      <c r="AC3" s="2660"/>
      <c r="AD3" s="2660"/>
      <c r="AE3" s="2660"/>
      <c r="AF3" s="2660"/>
      <c r="AG3" s="2660"/>
      <c r="AH3" s="2660"/>
      <c r="AI3" s="9" t="s">
        <v>2</v>
      </c>
      <c r="AJ3" s="1"/>
    </row>
    <row r="4" spans="1:38" ht="20.25">
      <c r="A4" s="3336" t="s">
        <v>1</v>
      </c>
      <c r="B4" s="3337"/>
      <c r="C4" s="3337"/>
      <c r="D4" s="3337"/>
      <c r="E4" s="3337"/>
      <c r="F4" s="3337"/>
      <c r="G4" s="3337"/>
      <c r="H4" s="3337"/>
      <c r="I4" s="3337"/>
      <c r="J4" s="3337"/>
      <c r="K4" s="3337"/>
      <c r="L4" s="3337"/>
      <c r="M4" s="3337"/>
      <c r="N4" s="3337"/>
      <c r="O4" s="3337"/>
      <c r="P4" s="3337"/>
      <c r="Q4" s="3337"/>
      <c r="R4" s="3337"/>
      <c r="S4" s="3337"/>
      <c r="T4" s="3337"/>
      <c r="U4" s="3337"/>
      <c r="V4" s="3337"/>
      <c r="W4" s="3337"/>
      <c r="X4" s="3337"/>
      <c r="Y4" s="3337"/>
      <c r="Z4" s="3337"/>
      <c r="AA4" s="3337"/>
      <c r="AB4" s="3337"/>
      <c r="AC4" s="3337"/>
      <c r="AD4" s="3337"/>
      <c r="AE4" s="3337"/>
      <c r="AF4" s="3337"/>
      <c r="AG4" s="3337"/>
      <c r="AH4" s="3337"/>
      <c r="AI4" s="3337"/>
      <c r="AJ4" s="1"/>
    </row>
    <row r="5" spans="1:38" ht="20.25">
      <c r="A5" s="3336" t="s">
        <v>1205</v>
      </c>
      <c r="B5" s="3338"/>
      <c r="C5" s="3338"/>
      <c r="D5" s="3338"/>
      <c r="E5" s="3338"/>
      <c r="F5" s="3338"/>
      <c r="G5" s="3338"/>
      <c r="H5" s="3338"/>
      <c r="I5" s="3338"/>
      <c r="J5" s="3338"/>
      <c r="K5" s="3338"/>
      <c r="L5" s="3338"/>
      <c r="M5" s="3338"/>
      <c r="N5" s="3338"/>
      <c r="O5" s="3338"/>
      <c r="P5" s="3338"/>
      <c r="Q5" s="3338"/>
      <c r="R5" s="3338"/>
      <c r="S5" s="3338"/>
      <c r="T5" s="3338"/>
      <c r="U5" s="3338"/>
      <c r="V5" s="3338"/>
      <c r="W5" s="3338"/>
      <c r="X5" s="3338"/>
      <c r="Y5" s="3338"/>
      <c r="Z5" s="3338"/>
      <c r="AA5" s="3338"/>
      <c r="AB5" s="3338"/>
      <c r="AC5" s="3338"/>
      <c r="AD5" s="3338"/>
      <c r="AE5" s="3337"/>
      <c r="AF5" s="3337"/>
      <c r="AG5" s="3337"/>
      <c r="AH5" s="3337"/>
      <c r="AI5" s="3337"/>
      <c r="AJ5" s="1"/>
    </row>
    <row r="6" spans="1:38" ht="18" customHeight="1">
      <c r="A6" s="3336" t="s">
        <v>1198</v>
      </c>
      <c r="B6" s="3337"/>
      <c r="C6" s="3337"/>
      <c r="D6" s="3337"/>
      <c r="E6" s="3337"/>
      <c r="F6" s="3337"/>
      <c r="G6" s="3337"/>
      <c r="H6" s="3337"/>
      <c r="I6" s="3337"/>
      <c r="J6" s="3337"/>
      <c r="K6" s="3337"/>
      <c r="L6" s="3337"/>
      <c r="M6" s="3337"/>
      <c r="N6" s="3337"/>
      <c r="O6" s="3337"/>
      <c r="P6" s="3337"/>
      <c r="Q6" s="3337"/>
      <c r="R6" s="3337"/>
      <c r="S6" s="3337"/>
      <c r="T6" s="3337"/>
      <c r="U6" s="3337"/>
      <c r="V6" s="3337"/>
      <c r="W6" s="3337"/>
      <c r="X6" s="3337"/>
      <c r="Y6" s="3337"/>
      <c r="Z6" s="3337"/>
      <c r="AA6" s="3337"/>
      <c r="AB6" s="3337"/>
      <c r="AC6" s="3337"/>
      <c r="AD6" s="3337"/>
      <c r="AE6" s="3337"/>
      <c r="AF6" s="3337"/>
      <c r="AG6" s="3337"/>
      <c r="AH6" s="3337"/>
      <c r="AI6" s="3337"/>
      <c r="AJ6" s="1"/>
    </row>
    <row r="7" spans="1:38" ht="15.75">
      <c r="A7" s="3"/>
      <c r="B7" s="3"/>
      <c r="C7" s="3"/>
      <c r="D7" s="1219"/>
      <c r="E7" s="3"/>
      <c r="F7" s="4"/>
      <c r="G7" s="3"/>
      <c r="H7" s="1224"/>
      <c r="I7" s="5"/>
      <c r="J7" s="6"/>
      <c r="K7" s="5"/>
      <c r="L7" s="1224"/>
      <c r="M7" s="3"/>
      <c r="N7" s="6"/>
      <c r="O7" s="5"/>
      <c r="P7" s="5"/>
      <c r="Q7" s="5"/>
      <c r="R7" s="6"/>
      <c r="S7" s="3"/>
      <c r="T7" s="3"/>
      <c r="U7" s="3"/>
      <c r="V7" s="1219"/>
      <c r="W7" s="3"/>
      <c r="X7" s="3"/>
      <c r="Y7" s="3"/>
      <c r="Z7" s="3"/>
      <c r="AA7" s="3"/>
      <c r="AB7" s="1219"/>
      <c r="AC7" s="3"/>
      <c r="AD7" s="7"/>
      <c r="AE7" s="7"/>
      <c r="AF7" s="8"/>
      <c r="AG7" s="8"/>
      <c r="AJ7" s="1"/>
      <c r="AK7" s="1"/>
      <c r="AL7" s="1"/>
    </row>
    <row r="8" spans="1:38" ht="15.95" customHeight="1">
      <c r="A8" s="5"/>
      <c r="B8" s="3"/>
      <c r="C8" s="3"/>
      <c r="D8" s="1224"/>
      <c r="E8" s="3"/>
      <c r="F8" s="4"/>
      <c r="G8" s="3"/>
      <c r="H8" s="1224"/>
      <c r="I8" s="5"/>
      <c r="J8" s="6"/>
      <c r="K8" s="5"/>
      <c r="L8" s="1224"/>
      <c r="M8" s="3"/>
      <c r="N8" s="6"/>
      <c r="O8" s="5"/>
      <c r="P8" s="5"/>
      <c r="Q8" s="5"/>
      <c r="R8" s="6"/>
      <c r="S8" s="3"/>
      <c r="T8" s="3"/>
      <c r="U8" s="3"/>
      <c r="V8" s="1219"/>
      <c r="W8" s="3"/>
      <c r="X8" s="3"/>
      <c r="Y8" s="3"/>
      <c r="Z8" s="3"/>
      <c r="AA8" s="3"/>
      <c r="AB8" s="1219"/>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227"/>
      <c r="AJ9" s="1"/>
      <c r="AK9" s="1"/>
      <c r="AL9" s="1"/>
    </row>
    <row r="10" spans="1:38" ht="15.95"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339" t="s">
        <v>1614</v>
      </c>
      <c r="W10" s="3340"/>
      <c r="X10" s="3340"/>
      <c r="Y10" s="3340"/>
      <c r="Z10" s="3340"/>
      <c r="AA10" s="3340"/>
      <c r="AB10" s="3340"/>
      <c r="AC10" s="3340"/>
      <c r="AD10" s="3340"/>
      <c r="AE10" s="3340"/>
      <c r="AF10" s="3340"/>
      <c r="AG10" s="3340"/>
      <c r="AH10" s="3340"/>
      <c r="AI10" s="3341"/>
      <c r="AJ10" s="19"/>
      <c r="AK10" s="1"/>
      <c r="AL10" s="1"/>
    </row>
    <row r="11" spans="1:38" ht="15.95" customHeight="1">
      <c r="A11" s="15"/>
      <c r="B11" s="15"/>
      <c r="C11" s="15"/>
      <c r="D11" s="20" t="s">
        <v>7</v>
      </c>
      <c r="E11" s="20"/>
      <c r="F11" s="21" t="s">
        <v>1637</v>
      </c>
      <c r="G11" s="11"/>
      <c r="H11" s="20" t="s">
        <v>7</v>
      </c>
      <c r="I11" s="20"/>
      <c r="J11" s="22" t="str">
        <f>F11</f>
        <v>7 MOS. ENDED</v>
      </c>
      <c r="K11" s="11"/>
      <c r="L11" s="20" t="s">
        <v>7</v>
      </c>
      <c r="M11" s="20"/>
      <c r="N11" s="22" t="str">
        <f>F11</f>
        <v>7 MOS. ENDED</v>
      </c>
      <c r="O11" s="11"/>
      <c r="P11" s="20" t="s">
        <v>7</v>
      </c>
      <c r="Q11" s="20"/>
      <c r="R11" s="22" t="str">
        <f>J11</f>
        <v>7 MOS. ENDED</v>
      </c>
      <c r="S11" s="11"/>
      <c r="T11" s="11"/>
      <c r="U11" s="1228"/>
      <c r="V11" s="20" t="s">
        <v>7</v>
      </c>
      <c r="W11" s="20"/>
      <c r="X11" s="20" t="str">
        <f>F11</f>
        <v>7 MOS. ENDED</v>
      </c>
      <c r="Y11" s="20"/>
      <c r="Z11" s="20"/>
      <c r="AA11" s="20"/>
      <c r="AB11" s="20" t="s">
        <v>7</v>
      </c>
      <c r="AC11" s="20"/>
      <c r="AD11" s="24" t="str">
        <f>F11</f>
        <v>7 MOS. ENDED</v>
      </c>
      <c r="AE11" s="24"/>
      <c r="AF11" s="20"/>
      <c r="AG11" s="20" t="s">
        <v>8</v>
      </c>
      <c r="AH11" s="1229"/>
      <c r="AI11" s="20" t="s">
        <v>9</v>
      </c>
      <c r="AJ11" s="1"/>
      <c r="AK11" s="1"/>
      <c r="AL11" s="1"/>
    </row>
    <row r="12" spans="1:38" ht="15.95" customHeight="1">
      <c r="A12" s="15"/>
      <c r="B12" s="15"/>
      <c r="C12" s="15"/>
      <c r="D12" s="25" t="s">
        <v>1633</v>
      </c>
      <c r="E12" s="11"/>
      <c r="F12" s="2005" t="s">
        <v>1634</v>
      </c>
      <c r="G12" s="11"/>
      <c r="H12" s="26" t="str">
        <f>D12</f>
        <v>OCT. 2014</v>
      </c>
      <c r="I12" s="11"/>
      <c r="J12" s="27" t="str">
        <f>F12</f>
        <v>OCT. 31, 2014</v>
      </c>
      <c r="K12" s="11"/>
      <c r="L12" s="26" t="str">
        <f>D12</f>
        <v>OCT. 2014</v>
      </c>
      <c r="M12" s="11"/>
      <c r="N12" s="27" t="str">
        <f>F12</f>
        <v>OCT. 31, 2014</v>
      </c>
      <c r="O12" s="11"/>
      <c r="P12" s="26" t="str">
        <f>D12</f>
        <v>OCT. 2014</v>
      </c>
      <c r="Q12" s="11"/>
      <c r="R12" s="27" t="str">
        <f>J12</f>
        <v>OCT. 31, 2014</v>
      </c>
      <c r="S12" s="11"/>
      <c r="T12" s="11"/>
      <c r="U12" s="1230"/>
      <c r="V12" s="26" t="str">
        <f>D12</f>
        <v>OCT. 2014</v>
      </c>
      <c r="W12" s="11"/>
      <c r="X12" s="26" t="str">
        <f>F12</f>
        <v>OCT. 31, 2014</v>
      </c>
      <c r="Y12" s="11"/>
      <c r="Z12" s="11"/>
      <c r="AA12" s="11"/>
      <c r="AB12" s="25" t="s">
        <v>1635</v>
      </c>
      <c r="AC12" s="11"/>
      <c r="AD12" s="25" t="s">
        <v>1636</v>
      </c>
      <c r="AE12" s="28"/>
      <c r="AF12" s="28"/>
      <c r="AG12" s="26" t="s">
        <v>13</v>
      </c>
      <c r="AH12" s="1227"/>
      <c r="AI12" s="25" t="s">
        <v>14</v>
      </c>
      <c r="AJ12" s="19"/>
      <c r="AK12" s="1"/>
      <c r="AL12" s="1"/>
    </row>
    <row r="13" spans="1:38" ht="15.95" customHeight="1">
      <c r="A13" s="14" t="s">
        <v>15</v>
      </c>
      <c r="B13" s="15"/>
      <c r="C13" s="15"/>
      <c r="D13" s="1220" t="s">
        <v>16</v>
      </c>
      <c r="E13" s="15"/>
      <c r="F13" s="30"/>
      <c r="G13" s="15"/>
      <c r="H13" s="1220" t="s">
        <v>16</v>
      </c>
      <c r="I13" s="15"/>
      <c r="J13" s="30"/>
      <c r="K13" s="15"/>
      <c r="L13" s="1220" t="s">
        <v>16</v>
      </c>
      <c r="M13" s="15"/>
      <c r="N13" s="30"/>
      <c r="O13" s="15"/>
      <c r="P13" s="1157" t="s">
        <v>16</v>
      </c>
      <c r="Q13" s="1158"/>
      <c r="R13" s="1159"/>
      <c r="S13" s="31"/>
      <c r="T13" s="31"/>
      <c r="U13" s="29"/>
      <c r="V13" s="1220"/>
      <c r="W13" s="15"/>
      <c r="X13" s="29"/>
      <c r="Y13" s="31"/>
      <c r="Z13" s="32"/>
      <c r="AA13" s="29"/>
      <c r="AB13" s="1220"/>
      <c r="AC13" s="15"/>
      <c r="AD13" s="33"/>
      <c r="AE13" s="33"/>
      <c r="AF13" s="34"/>
      <c r="AG13" s="29"/>
      <c r="AI13" s="19"/>
      <c r="AJ13" s="19"/>
      <c r="AK13" s="1"/>
      <c r="AL13" s="1"/>
    </row>
    <row r="14" spans="1:38" ht="18" customHeight="1">
      <c r="A14" s="15" t="s">
        <v>17</v>
      </c>
      <c r="B14" s="2078">
        <v>-5</v>
      </c>
      <c r="C14" s="15"/>
      <c r="D14" s="3006">
        <f>+'Exh F'!P28</f>
        <v>1861.1</v>
      </c>
      <c r="E14" s="37" t="s">
        <v>16</v>
      </c>
      <c r="F14" s="1252">
        <f>+'Exh F'!AC28</f>
        <v>16898.3</v>
      </c>
      <c r="G14" s="37"/>
      <c r="H14" s="3006">
        <f>'Exhibit G'!P18</f>
        <v>4.5</v>
      </c>
      <c r="I14" s="38"/>
      <c r="J14" s="1252">
        <f>'Exhibit G'!AC18</f>
        <v>632</v>
      </c>
      <c r="K14" s="37"/>
      <c r="L14" s="3229">
        <f>+'Exhibit H'!N16</f>
        <v>621.79999999999995</v>
      </c>
      <c r="M14" s="1252"/>
      <c r="N14" s="1252">
        <f>+'Exhibit H'!AA16</f>
        <v>5843.4</v>
      </c>
      <c r="O14" s="1252"/>
      <c r="P14" s="1315">
        <v>0</v>
      </c>
      <c r="Q14" s="1316"/>
      <c r="R14" s="1315">
        <v>0</v>
      </c>
      <c r="S14" s="1574"/>
      <c r="T14" s="1574"/>
      <c r="U14" s="1575"/>
      <c r="V14" s="1316">
        <f t="shared" ref="V14:V19" si="0">ROUND(SUM(D14)+SUM(H14)+SUM(L14)+SUM(P14),1)</f>
        <v>2487.4</v>
      </c>
      <c r="W14" s="1573" t="s">
        <v>16</v>
      </c>
      <c r="X14" s="1573">
        <f t="shared" ref="X14:X19" si="1">ROUND(SUM(F14)+SUM(J14)+SUM(N14)+SUM(R14),1)</f>
        <v>23373.7</v>
      </c>
      <c r="Y14" s="39"/>
      <c r="Z14" s="41"/>
      <c r="AA14" s="40"/>
      <c r="AB14" s="1244">
        <v>2405.5</v>
      </c>
      <c r="AC14" s="37"/>
      <c r="AD14" s="3233">
        <f>ROUND(+'Exh F'!AF28+'Exhibit G'!AF18+'Exhibit H'!AD16,1)</f>
        <v>23980.9</v>
      </c>
      <c r="AE14" s="42"/>
      <c r="AF14" s="43"/>
      <c r="AG14" s="37">
        <f t="shared" ref="AG14:AG19" si="2">ROUND(SUM(X14-AD14),1)</f>
        <v>-607.20000000000005</v>
      </c>
      <c r="AH14" s="44"/>
      <c r="AI14" s="45">
        <f t="shared" ref="AI14:AI19" si="3">ROUND(SUM((+X14-AD14)/AD14),3)</f>
        <v>-2.5000000000000001E-2</v>
      </c>
      <c r="AJ14" s="2003"/>
      <c r="AK14" s="1"/>
      <c r="AL14" s="1"/>
    </row>
    <row r="15" spans="1:38" ht="18" customHeight="1">
      <c r="A15" s="15" t="s">
        <v>18</v>
      </c>
      <c r="B15" s="46" t="s">
        <v>16</v>
      </c>
      <c r="C15" s="15"/>
      <c r="D15" s="1162">
        <f>+'Exh F'!P37</f>
        <v>515.9</v>
      </c>
      <c r="E15" s="47"/>
      <c r="F15" s="48">
        <f>+'Exh F'!AC37</f>
        <v>3907</v>
      </c>
      <c r="G15" s="47"/>
      <c r="H15" s="1162">
        <f>'Exhibit G'!P28</f>
        <v>179</v>
      </c>
      <c r="I15" s="47"/>
      <c r="J15" s="48">
        <f>+'Exhibit G'!AC28</f>
        <v>1272.9000000000001</v>
      </c>
      <c r="K15" s="47"/>
      <c r="L15" s="3228">
        <f>'Exhibit H'!N20</f>
        <v>465.7</v>
      </c>
      <c r="M15" s="48"/>
      <c r="N15" s="48">
        <f>+'Exhibit H'!AA20</f>
        <v>3510.3</v>
      </c>
      <c r="O15" s="48"/>
      <c r="P15" s="3228">
        <f>' Exhbit I '!Q23</f>
        <v>46.2</v>
      </c>
      <c r="Q15" s="1161"/>
      <c r="R15" s="1160">
        <f>+' Exhbit I '!AD23</f>
        <v>362.6</v>
      </c>
      <c r="S15" s="50"/>
      <c r="T15" s="50"/>
      <c r="U15" s="51"/>
      <c r="V15" s="1161">
        <f t="shared" si="0"/>
        <v>1206.8</v>
      </c>
      <c r="W15" s="47" t="s">
        <v>16</v>
      </c>
      <c r="X15" s="47">
        <f t="shared" si="1"/>
        <v>9052.7999999999993</v>
      </c>
      <c r="Y15" s="50"/>
      <c r="Z15" s="52"/>
      <c r="AA15" s="51"/>
      <c r="AB15" s="1171">
        <v>1183.9000000000001</v>
      </c>
      <c r="AC15" s="53"/>
      <c r="AD15" s="33">
        <f>ROUND(+' Exhbit I '!AG23+'Exhibit G'!AF28+'Exhibit H'!AD20+'Exh F'!AF37,1)</f>
        <v>8875.7000000000007</v>
      </c>
      <c r="AE15" s="54"/>
      <c r="AF15" s="55"/>
      <c r="AG15" s="47">
        <f t="shared" si="2"/>
        <v>177.1</v>
      </c>
      <c r="AI15" s="45">
        <f t="shared" si="3"/>
        <v>0.02</v>
      </c>
      <c r="AJ15" s="29"/>
      <c r="AK15" s="1"/>
      <c r="AL15" s="1"/>
    </row>
    <row r="16" spans="1:38" ht="18" customHeight="1">
      <c r="A16" s="15" t="s">
        <v>19</v>
      </c>
      <c r="B16" s="56"/>
      <c r="C16" s="15"/>
      <c r="D16" s="1162">
        <f>+'Exh F'!P44</f>
        <v>87</v>
      </c>
      <c r="E16" s="47"/>
      <c r="F16" s="48">
        <f>+'Exh F'!AC44</f>
        <v>2811</v>
      </c>
      <c r="G16" s="47"/>
      <c r="H16" s="1162">
        <f>'Exhibit G'!P35</f>
        <v>37.4</v>
      </c>
      <c r="I16" s="47"/>
      <c r="J16" s="48">
        <f>'Exhibit G'!AC35</f>
        <v>795.4</v>
      </c>
      <c r="K16" s="47"/>
      <c r="L16" s="1168">
        <v>0</v>
      </c>
      <c r="M16" s="48"/>
      <c r="N16" s="58">
        <v>0</v>
      </c>
      <c r="O16" s="48"/>
      <c r="P16" s="3228">
        <f>' Exhbit I '!Q28</f>
        <v>53</v>
      </c>
      <c r="Q16" s="1161"/>
      <c r="R16" s="1160">
        <f>' Exhbit I '!AD28</f>
        <v>398</v>
      </c>
      <c r="S16" s="50"/>
      <c r="T16" s="50"/>
      <c r="U16" s="51"/>
      <c r="V16" s="1161">
        <f t="shared" si="0"/>
        <v>177.4</v>
      </c>
      <c r="W16" s="47" t="s">
        <v>16</v>
      </c>
      <c r="X16" s="47">
        <f t="shared" si="1"/>
        <v>4004.4</v>
      </c>
      <c r="Y16" s="50"/>
      <c r="Z16" s="52"/>
      <c r="AA16" s="51"/>
      <c r="AB16" s="1171">
        <v>210.6</v>
      </c>
      <c r="AC16" s="53"/>
      <c r="AD16" s="33">
        <f>ROUND(+'Exhibit G'!AF35+' Exhbit I '!AG28+'Exh F'!AF44,1)</f>
        <v>3796.1</v>
      </c>
      <c r="AE16" s="54"/>
      <c r="AF16" s="55"/>
      <c r="AG16" s="47">
        <f t="shared" si="2"/>
        <v>208.3</v>
      </c>
      <c r="AI16" s="45">
        <f t="shared" si="3"/>
        <v>5.5E-2</v>
      </c>
      <c r="AJ16" s="29"/>
      <c r="AK16" s="1"/>
      <c r="AL16" s="1"/>
    </row>
    <row r="17" spans="1:38" ht="18" customHeight="1">
      <c r="A17" s="15" t="s">
        <v>20</v>
      </c>
      <c r="B17" s="36"/>
      <c r="C17" s="15"/>
      <c r="D17" s="1162">
        <f>+'Exh F'!P52</f>
        <v>105.9</v>
      </c>
      <c r="E17" s="47"/>
      <c r="F17" s="48">
        <f>+'Exh F'!AC52</f>
        <v>678.9</v>
      </c>
      <c r="G17" s="47"/>
      <c r="H17" s="1162">
        <f>'Exhibit G'!P38</f>
        <v>101.6</v>
      </c>
      <c r="I17" s="47"/>
      <c r="J17" s="47">
        <f>'Exhibit G'!AC38</f>
        <v>671.6</v>
      </c>
      <c r="K17" s="47"/>
      <c r="L17" s="3228">
        <f>'Exhibit H'!N23</f>
        <v>80.8</v>
      </c>
      <c r="M17" s="48"/>
      <c r="N17" s="48">
        <f>+'Exhibit H'!AA23</f>
        <v>533.6</v>
      </c>
      <c r="O17" s="48"/>
      <c r="P17" s="3228">
        <f>' Exhbit I '!Q31</f>
        <v>12</v>
      </c>
      <c r="Q17" s="1161"/>
      <c r="R17" s="1160">
        <f>' Exhbit I '!AD31</f>
        <v>59.6</v>
      </c>
      <c r="S17" s="50"/>
      <c r="T17" s="50"/>
      <c r="U17" s="51"/>
      <c r="V17" s="1161">
        <f t="shared" si="0"/>
        <v>300.3</v>
      </c>
      <c r="W17" s="47" t="s">
        <v>16</v>
      </c>
      <c r="X17" s="47">
        <f t="shared" si="1"/>
        <v>1943.7</v>
      </c>
      <c r="Y17" s="50"/>
      <c r="Z17" s="52"/>
      <c r="AA17" s="51"/>
      <c r="AB17" s="1161">
        <v>389.9</v>
      </c>
      <c r="AC17" s="47"/>
      <c r="AD17" s="54">
        <f>ROUND(+'Exh F'!AF52+'Exhibit G'!AF38+'Exhibit H'!AD23+' Exhbit I '!AG31,1)</f>
        <v>1956.3</v>
      </c>
      <c r="AE17" s="54"/>
      <c r="AF17" s="55"/>
      <c r="AG17" s="47">
        <f t="shared" si="2"/>
        <v>-12.6</v>
      </c>
      <c r="AI17" s="45">
        <f t="shared" si="3"/>
        <v>-6.0000000000000001E-3</v>
      </c>
      <c r="AJ17" s="33"/>
      <c r="AK17" s="1"/>
      <c r="AL17" s="1"/>
    </row>
    <row r="18" spans="1:38" ht="18" customHeight="1">
      <c r="A18" s="15" t="s">
        <v>21</v>
      </c>
      <c r="B18" s="59"/>
      <c r="C18" s="15"/>
      <c r="D18" s="1162">
        <f>+'Exh F'!P88</f>
        <v>512.20000000000005</v>
      </c>
      <c r="E18" s="47"/>
      <c r="F18" s="48">
        <f>+'Exh F'!AC88</f>
        <v>5841.1</v>
      </c>
      <c r="G18" s="47"/>
      <c r="H18" s="1162">
        <f>+'Exhibit G'!P81</f>
        <v>1485.5</v>
      </c>
      <c r="I18" s="47"/>
      <c r="J18" s="48">
        <f>+'Exhibit G'!AC81</f>
        <v>9499.7000000000007</v>
      </c>
      <c r="K18" s="47"/>
      <c r="L18" s="3228">
        <f>+'Exhibit H'!N40</f>
        <v>30.9</v>
      </c>
      <c r="M18" s="48"/>
      <c r="N18" s="48">
        <f>+'Exhibit H'!AA40</f>
        <v>316.39999999999998</v>
      </c>
      <c r="O18" s="48"/>
      <c r="P18" s="3228">
        <f>+' Exhbit I '!Q57</f>
        <v>102.3</v>
      </c>
      <c r="Q18" s="1161"/>
      <c r="R18" s="1162">
        <f>+' Exhbit I '!AD57</f>
        <v>1608.1</v>
      </c>
      <c r="S18" s="50"/>
      <c r="T18" s="50"/>
      <c r="U18" s="51"/>
      <c r="V18" s="1161">
        <f t="shared" si="0"/>
        <v>2130.9</v>
      </c>
      <c r="W18" s="47" t="s">
        <v>16</v>
      </c>
      <c r="X18" s="47">
        <f t="shared" si="1"/>
        <v>17265.3</v>
      </c>
      <c r="Y18" s="50"/>
      <c r="Z18" s="52"/>
      <c r="AA18" s="51"/>
      <c r="AB18" s="1171">
        <v>2282</v>
      </c>
      <c r="AC18" s="53"/>
      <c r="AD18" s="54">
        <f>ROUND('Exh F'!AF88+'Exhibit G'!AF81+'Exhibit H'!AD40+' Exhbit I '!AG57,1)</f>
        <v>14077.1</v>
      </c>
      <c r="AE18" s="54"/>
      <c r="AF18" s="55"/>
      <c r="AG18" s="47">
        <f t="shared" si="2"/>
        <v>3188.2</v>
      </c>
      <c r="AI18" s="45">
        <f t="shared" si="3"/>
        <v>0.22600000000000001</v>
      </c>
      <c r="AJ18" s="29"/>
      <c r="AK18" s="1"/>
      <c r="AL18" s="1"/>
    </row>
    <row r="19" spans="1:38" ht="18" customHeight="1">
      <c r="A19" s="15" t="s">
        <v>22</v>
      </c>
      <c r="B19" s="60"/>
      <c r="C19" s="15"/>
      <c r="D19" s="1162">
        <f>+'Exh F'!P90</f>
        <v>0</v>
      </c>
      <c r="E19" s="51"/>
      <c r="F19" s="48">
        <f>+'Exh F'!AC90</f>
        <v>0.7</v>
      </c>
      <c r="G19" s="47"/>
      <c r="H19" s="1162">
        <f>+'Exhibit G'!P83</f>
        <v>3611.9</v>
      </c>
      <c r="I19" s="47"/>
      <c r="J19" s="48">
        <f>+'Exhibit G'!AC83</f>
        <v>25378.9</v>
      </c>
      <c r="K19" s="47"/>
      <c r="L19" s="3228">
        <f>+'Exhibit H'!N42</f>
        <v>0</v>
      </c>
      <c r="M19" s="76"/>
      <c r="N19" s="48">
        <f>+'Exhibit H'!AA42</f>
        <v>36.6</v>
      </c>
      <c r="O19" s="48"/>
      <c r="P19" s="3228">
        <f>+' Exhbit I '!Q59</f>
        <v>171.6</v>
      </c>
      <c r="Q19" s="1161"/>
      <c r="R19" s="1162">
        <f>+' Exhbit I '!AD59</f>
        <v>1104.4000000000001</v>
      </c>
      <c r="S19" s="50"/>
      <c r="T19" s="50"/>
      <c r="U19" s="51"/>
      <c r="V19" s="1163">
        <f t="shared" si="0"/>
        <v>3783.5</v>
      </c>
      <c r="W19" s="47" t="s">
        <v>16</v>
      </c>
      <c r="X19" s="51">
        <f t="shared" si="1"/>
        <v>26520.6</v>
      </c>
      <c r="Y19" s="50"/>
      <c r="Z19" s="52"/>
      <c r="AA19" s="51"/>
      <c r="AB19" s="1161">
        <v>3717.4</v>
      </c>
      <c r="AC19" s="47"/>
      <c r="AD19" s="54">
        <f>ROUND(+'Exh F'!AF90+'Exhibit G'!AF83+'Exhibit H'!AD42+' Exhbit I '!AG59,1)</f>
        <v>25560.3</v>
      </c>
      <c r="AE19" s="54"/>
      <c r="AF19" s="55"/>
      <c r="AG19" s="47">
        <f t="shared" si="2"/>
        <v>960.3</v>
      </c>
      <c r="AI19" s="45">
        <f t="shared" si="3"/>
        <v>3.7999999999999999E-2</v>
      </c>
      <c r="AJ19" s="29"/>
      <c r="AK19" s="1"/>
      <c r="AL19" s="1"/>
    </row>
    <row r="20" spans="1:38" ht="18" customHeight="1">
      <c r="A20" s="14" t="s">
        <v>23</v>
      </c>
      <c r="B20" s="15"/>
      <c r="C20" s="15"/>
      <c r="D20" s="64">
        <f>ROUND(SUM(D14:D19),1)</f>
        <v>3082.1</v>
      </c>
      <c r="E20" s="63"/>
      <c r="F20" s="64">
        <f>ROUND(SUM(F14:F19),1)</f>
        <v>30137</v>
      </c>
      <c r="G20" s="65"/>
      <c r="H20" s="67">
        <f>ROUND(SUM(H14:H19),1)</f>
        <v>5419.9</v>
      </c>
      <c r="I20" s="65"/>
      <c r="J20" s="67">
        <f>ROUND(SUM(J14:J19),1)</f>
        <v>38250.5</v>
      </c>
      <c r="K20" s="65"/>
      <c r="L20" s="67">
        <f>ROUND(SUM(L14:L19),1)</f>
        <v>1199.2</v>
      </c>
      <c r="M20" s="3027"/>
      <c r="N20" s="67">
        <f>ROUND(SUM(N14:N19),1)</f>
        <v>10240.299999999999</v>
      </c>
      <c r="O20" s="3027"/>
      <c r="P20" s="67">
        <f>ROUND(SUM(P14:P19),1)</f>
        <v>385.1</v>
      </c>
      <c r="Q20" s="65"/>
      <c r="R20" s="67">
        <f>ROUND(SUM(R14:R19),1)</f>
        <v>3532.7</v>
      </c>
      <c r="S20" s="68"/>
      <c r="T20" s="68"/>
      <c r="U20" s="69"/>
      <c r="V20" s="66">
        <f>ROUND(SUM(V14:V19),1)</f>
        <v>10086.299999999999</v>
      </c>
      <c r="W20" s="65"/>
      <c r="X20" s="66">
        <f>ROUND(SUM(X14:X19),1)</f>
        <v>82160.5</v>
      </c>
      <c r="Y20" s="68"/>
      <c r="Z20" s="70"/>
      <c r="AA20" s="69"/>
      <c r="AB20" s="66">
        <f>ROUND(SUM(AB14:AB19),1)</f>
        <v>10189.299999999999</v>
      </c>
      <c r="AC20" s="65"/>
      <c r="AD20" s="66">
        <f>ROUND(SUM(AD14:AD19),1)</f>
        <v>78246.399999999994</v>
      </c>
      <c r="AE20" s="71"/>
      <c r="AF20" s="72"/>
      <c r="AG20" s="66">
        <f>ROUND(SUM(AG14:AG19),1)</f>
        <v>3914.1</v>
      </c>
      <c r="AH20" s="73"/>
      <c r="AI20" s="74">
        <f>(+X20-AD20)/AD20</f>
        <v>5.0022748650417219E-2</v>
      </c>
      <c r="AJ20" s="75"/>
      <c r="AK20" s="1"/>
      <c r="AL20" s="1"/>
    </row>
    <row r="21" spans="1:38" ht="15.95" customHeight="1">
      <c r="A21" s="14"/>
      <c r="B21" s="15"/>
      <c r="C21" s="15"/>
      <c r="D21" s="1164"/>
      <c r="E21" s="51"/>
      <c r="F21" s="76"/>
      <c r="G21" s="47"/>
      <c r="H21" s="1164"/>
      <c r="I21" s="47"/>
      <c r="J21" s="76"/>
      <c r="K21" s="47"/>
      <c r="L21" s="1164"/>
      <c r="M21" s="48"/>
      <c r="N21" s="76"/>
      <c r="O21" s="48"/>
      <c r="P21" s="1164"/>
      <c r="Q21" s="1161"/>
      <c r="R21" s="1164"/>
      <c r="S21" s="50"/>
      <c r="T21" s="50"/>
      <c r="U21" s="51"/>
      <c r="V21" s="1163"/>
      <c r="W21" s="47"/>
      <c r="X21" s="51"/>
      <c r="Y21" s="50"/>
      <c r="Z21" s="52"/>
      <c r="AA21" s="51"/>
      <c r="AB21" s="1163"/>
      <c r="AC21" s="47"/>
      <c r="AD21" s="54"/>
      <c r="AE21" s="54"/>
      <c r="AF21" s="55"/>
      <c r="AG21" s="51"/>
      <c r="AI21" s="19"/>
      <c r="AJ21" s="29"/>
      <c r="AK21" s="1"/>
      <c r="AL21" s="1"/>
    </row>
    <row r="22" spans="1:38" ht="15.95" customHeight="1">
      <c r="A22" s="14" t="s">
        <v>24</v>
      </c>
      <c r="B22" s="15"/>
      <c r="C22" s="15"/>
      <c r="D22" s="1162"/>
      <c r="E22" s="47"/>
      <c r="F22" s="48"/>
      <c r="G22" s="47"/>
      <c r="H22" s="1162"/>
      <c r="I22" s="47"/>
      <c r="J22" s="48"/>
      <c r="K22" s="47"/>
      <c r="L22" s="1162"/>
      <c r="M22" s="48"/>
      <c r="N22" s="48"/>
      <c r="O22" s="48"/>
      <c r="P22" s="1162"/>
      <c r="Q22" s="1161"/>
      <c r="R22" s="1162"/>
      <c r="S22" s="50"/>
      <c r="T22" s="50"/>
      <c r="U22" s="51"/>
      <c r="V22" s="1161"/>
      <c r="W22" s="47"/>
      <c r="X22" s="47"/>
      <c r="Y22" s="50"/>
      <c r="Z22" s="52"/>
      <c r="AA22" s="51"/>
      <c r="AB22" s="1161"/>
      <c r="AC22" s="47"/>
      <c r="AD22" s="54"/>
      <c r="AE22" s="54"/>
      <c r="AF22" s="55"/>
      <c r="AG22" s="47"/>
      <c r="AI22" s="19"/>
      <c r="AJ22" s="29"/>
      <c r="AK22" s="1"/>
      <c r="AL22" s="1"/>
    </row>
    <row r="23" spans="1:38" ht="15.95" customHeight="1">
      <c r="A23" s="15" t="s">
        <v>25</v>
      </c>
      <c r="B23" s="36" t="s">
        <v>1300</v>
      </c>
      <c r="C23" s="15"/>
      <c r="D23" s="1168" t="s">
        <v>16</v>
      </c>
      <c r="E23" s="47"/>
      <c r="F23" s="58" t="s">
        <v>16</v>
      </c>
      <c r="G23" s="47"/>
      <c r="H23" s="1166"/>
      <c r="I23" s="47"/>
      <c r="J23" s="77"/>
      <c r="K23" s="47"/>
      <c r="L23" s="1166"/>
      <c r="M23" s="48"/>
      <c r="N23" s="77"/>
      <c r="O23" s="48"/>
      <c r="P23" s="1166"/>
      <c r="Q23" s="1161"/>
      <c r="R23" s="1166"/>
      <c r="S23" s="50"/>
      <c r="T23" s="50"/>
      <c r="U23" s="51"/>
      <c r="V23" s="1165"/>
      <c r="W23" s="47"/>
      <c r="X23" s="61"/>
      <c r="Y23" s="50"/>
      <c r="Z23" s="52"/>
      <c r="AA23" s="51"/>
      <c r="AB23" s="1165"/>
      <c r="AC23" s="47"/>
      <c r="AD23" s="61"/>
      <c r="AE23" s="54"/>
      <c r="AF23" s="55"/>
      <c r="AG23" s="61"/>
      <c r="AI23" s="78"/>
      <c r="AJ23" s="29"/>
      <c r="AK23" s="1"/>
      <c r="AL23" s="1"/>
    </row>
    <row r="24" spans="1:38" ht="18" customHeight="1">
      <c r="A24" s="1865" t="s">
        <v>26</v>
      </c>
      <c r="B24" s="15"/>
      <c r="C24" s="15"/>
      <c r="D24" s="3050">
        <f>+'Exh F'!P96</f>
        <v>1301.8</v>
      </c>
      <c r="E24" s="47"/>
      <c r="F24" s="48">
        <f>+'Exh F'!AC96</f>
        <v>10970.1</v>
      </c>
      <c r="G24" s="47"/>
      <c r="H24" s="3228">
        <f>+'Exhibit G'!P89</f>
        <v>335.9</v>
      </c>
      <c r="I24" s="47"/>
      <c r="J24" s="48">
        <f>+'Exhibit G'!AC89</f>
        <v>5072.8</v>
      </c>
      <c r="K24" s="47"/>
      <c r="L24" s="3015">
        <v>0</v>
      </c>
      <c r="M24" s="76"/>
      <c r="N24" s="80">
        <v>0</v>
      </c>
      <c r="O24" s="48"/>
      <c r="P24" s="3228">
        <f>' Exhbit I '!Q65</f>
        <v>0.9</v>
      </c>
      <c r="Q24" s="1160"/>
      <c r="R24" s="1162">
        <f>+' Exhbit I '!AD65</f>
        <v>16.2</v>
      </c>
      <c r="S24" s="50"/>
      <c r="T24" s="50"/>
      <c r="U24" s="51"/>
      <c r="V24" s="1161">
        <f>ROUND(SUM(D24)+SUM(H24)+SUM(L24)+SUM(P24),1)</f>
        <v>1638.6</v>
      </c>
      <c r="W24" s="47" t="s">
        <v>16</v>
      </c>
      <c r="X24" s="47">
        <f>ROUND(SUM(F24)+SUM(J24)+SUM(N24)+SUM(R24),1)</f>
        <v>16059.1</v>
      </c>
      <c r="Y24" s="50"/>
      <c r="Z24" s="52"/>
      <c r="AA24" s="51"/>
      <c r="AB24" s="1161">
        <v>1798.8</v>
      </c>
      <c r="AC24" s="47"/>
      <c r="AD24" s="54">
        <f>ROUND(+'Exh F'!AF96+'Exhibit G'!AF89+'Exhibit H'!L46+' Exhbit I '!AG65,1)</f>
        <v>15138.3</v>
      </c>
      <c r="AE24" s="81"/>
      <c r="AF24" s="82"/>
      <c r="AG24" s="47">
        <f>ROUND(SUM(X24-AD24),1)</f>
        <v>920.8</v>
      </c>
      <c r="AI24" s="45">
        <f>ROUND(SUM((+X24-AD24)/AD24),3)</f>
        <v>6.0999999999999999E-2</v>
      </c>
      <c r="AJ24" s="29"/>
      <c r="AK24" s="1"/>
      <c r="AL24" s="1"/>
    </row>
    <row r="25" spans="1:38" ht="18" customHeight="1">
      <c r="A25" s="1865" t="s">
        <v>27</v>
      </c>
      <c r="B25" s="83"/>
      <c r="C25" s="15"/>
      <c r="D25" s="3050">
        <f>+'Exh F'!P97</f>
        <v>0.2</v>
      </c>
      <c r="E25" s="47"/>
      <c r="F25" s="48">
        <f>+'Exh F'!AC97</f>
        <v>3.9</v>
      </c>
      <c r="G25" s="47"/>
      <c r="H25" s="3228">
        <f>+'Exhibit G'!P90</f>
        <v>0</v>
      </c>
      <c r="I25" s="47"/>
      <c r="J25" s="48">
        <f>+'Exhibit G'!AC90</f>
        <v>1.9</v>
      </c>
      <c r="K25" s="47"/>
      <c r="L25" s="3015">
        <v>0</v>
      </c>
      <c r="M25" s="76"/>
      <c r="N25" s="80">
        <v>0</v>
      </c>
      <c r="O25" s="48"/>
      <c r="P25" s="3228">
        <f>' Exhbit I '!Q66</f>
        <v>8.6</v>
      </c>
      <c r="Q25" s="1160"/>
      <c r="R25" s="1162">
        <f>+' Exhbit I '!AD66</f>
        <v>40.700000000000003</v>
      </c>
      <c r="S25" s="50"/>
      <c r="T25" s="50"/>
      <c r="U25" s="51"/>
      <c r="V25" s="1161">
        <f t="shared" ref="V25:V32" si="4">ROUND(SUM(D25)+SUM(H25)+SUM(L25)+SUM(P25),1)</f>
        <v>8.8000000000000007</v>
      </c>
      <c r="W25" s="47" t="s">
        <v>16</v>
      </c>
      <c r="X25" s="47">
        <f t="shared" ref="X25:X32" si="5">ROUND(SUM(F25)+SUM(J25)+SUM(N25)+SUM(R25),1)</f>
        <v>46.5</v>
      </c>
      <c r="Y25" s="50"/>
      <c r="Z25" s="52"/>
      <c r="AA25" s="51"/>
      <c r="AB25" s="1245">
        <v>10.6</v>
      </c>
      <c r="AC25" s="49" t="s">
        <v>16</v>
      </c>
      <c r="AD25" s="54">
        <f>ROUND(+'Exh F'!AF97+'Exhibit G'!AF90+'Exhibit H'!N46+' Exhbit I '!AG66,1)</f>
        <v>212.2</v>
      </c>
      <c r="AE25" s="51"/>
      <c r="AF25" s="55"/>
      <c r="AG25" s="47">
        <f t="shared" ref="AG25:AG33" si="6">ROUND(SUM(X25-AD25),1)</f>
        <v>-165.7</v>
      </c>
      <c r="AI25" s="45">
        <f t="shared" ref="AI25:AI33" si="7">ROUND(SUM((+X25-AD25)/AD25),3)</f>
        <v>-0.78100000000000003</v>
      </c>
      <c r="AJ25" s="29"/>
      <c r="AK25" s="1"/>
      <c r="AL25" s="1"/>
    </row>
    <row r="26" spans="1:38" ht="18" customHeight="1">
      <c r="A26" s="1865" t="s">
        <v>28</v>
      </c>
      <c r="B26" s="84"/>
      <c r="C26" s="15"/>
      <c r="D26" s="3050">
        <f>+'Exh F'!P98</f>
        <v>10.1</v>
      </c>
      <c r="E26" s="47"/>
      <c r="F26" s="48">
        <f>+'Exh F'!AC98</f>
        <v>730.5</v>
      </c>
      <c r="G26" s="47"/>
      <c r="H26" s="3228">
        <f>+'Exhibit G'!P91</f>
        <v>12.1</v>
      </c>
      <c r="I26" s="47"/>
      <c r="J26" s="48">
        <f>+'Exhibit G'!AC91</f>
        <v>158.4</v>
      </c>
      <c r="K26" s="47"/>
      <c r="L26" s="3015">
        <v>0</v>
      </c>
      <c r="M26" s="76"/>
      <c r="N26" s="80">
        <v>0</v>
      </c>
      <c r="O26" s="48"/>
      <c r="P26" s="3228">
        <f>' Exhbit I '!Q67</f>
        <v>16.899999999999999</v>
      </c>
      <c r="Q26" s="1160"/>
      <c r="R26" s="1162">
        <f>+' Exhbit I '!AD67</f>
        <v>27.5</v>
      </c>
      <c r="S26" s="50"/>
      <c r="T26" s="50"/>
      <c r="U26" s="51"/>
      <c r="V26" s="1161">
        <f t="shared" si="4"/>
        <v>39.1</v>
      </c>
      <c r="W26" s="47" t="s">
        <v>16</v>
      </c>
      <c r="X26" s="47">
        <f t="shared" si="5"/>
        <v>916.4</v>
      </c>
      <c r="Y26" s="50"/>
      <c r="Z26" s="52"/>
      <c r="AA26" s="51"/>
      <c r="AB26" s="1161">
        <v>95.5</v>
      </c>
      <c r="AC26" s="47" t="s">
        <v>16</v>
      </c>
      <c r="AD26" s="54">
        <f>ROUND(+'Exh F'!AF98+'Exhibit G'!AF91+'Exhibit H'!J46+' Exhbit I '!AG67,1)</f>
        <v>1013.5</v>
      </c>
      <c r="AE26" s="51"/>
      <c r="AF26" s="55"/>
      <c r="AG26" s="47">
        <f t="shared" si="6"/>
        <v>-97.1</v>
      </c>
      <c r="AI26" s="45">
        <f t="shared" si="7"/>
        <v>-9.6000000000000002E-2</v>
      </c>
      <c r="AJ26" s="29"/>
      <c r="AK26" s="1"/>
      <c r="AL26" s="1"/>
    </row>
    <row r="27" spans="1:38" ht="18" customHeight="1">
      <c r="A27" s="1865" t="s">
        <v>29</v>
      </c>
      <c r="B27" s="36"/>
      <c r="C27" s="15"/>
      <c r="D27" s="1162"/>
      <c r="E27" s="47"/>
      <c r="F27" s="48"/>
      <c r="G27" s="47"/>
      <c r="H27" s="3228"/>
      <c r="I27" s="47"/>
      <c r="J27" s="48" t="s">
        <v>16</v>
      </c>
      <c r="K27" s="47"/>
      <c r="L27" s="3225" t="s">
        <v>16</v>
      </c>
      <c r="M27" s="76"/>
      <c r="N27" s="86" t="s">
        <v>16</v>
      </c>
      <c r="O27" s="48"/>
      <c r="P27" s="3228"/>
      <c r="Q27" s="1160"/>
      <c r="R27" s="1162"/>
      <c r="S27" s="50"/>
      <c r="T27" s="50"/>
      <c r="U27" s="51"/>
      <c r="V27" s="1161" t="s">
        <v>16</v>
      </c>
      <c r="W27" s="47"/>
      <c r="X27" s="1161" t="s">
        <v>16</v>
      </c>
      <c r="Y27" s="50"/>
      <c r="Z27" s="52"/>
      <c r="AA27" s="51"/>
      <c r="AB27" s="1161"/>
      <c r="AC27" s="47"/>
      <c r="AD27" s="47"/>
      <c r="AE27" s="51"/>
      <c r="AF27" s="55"/>
      <c r="AG27" s="47"/>
      <c r="AI27" s="45"/>
      <c r="AJ27" s="29"/>
      <c r="AK27" s="1"/>
      <c r="AL27" s="1"/>
    </row>
    <row r="28" spans="1:38" ht="18" customHeight="1">
      <c r="A28" s="1866" t="s">
        <v>30</v>
      </c>
      <c r="B28" s="46"/>
      <c r="C28" s="15"/>
      <c r="D28" s="3050">
        <f>+'Exh F'!P100</f>
        <v>1009.2</v>
      </c>
      <c r="E28" s="47"/>
      <c r="F28" s="48">
        <f>+'Exh F'!AC100</f>
        <v>7212.3</v>
      </c>
      <c r="G28" s="47"/>
      <c r="H28" s="3228">
        <f>+'Exhibit G'!P93</f>
        <v>3111.8</v>
      </c>
      <c r="I28" s="47"/>
      <c r="J28" s="48">
        <f>+'Exhibit G'!AC93</f>
        <v>19210.2</v>
      </c>
      <c r="K28" s="47"/>
      <c r="L28" s="3015">
        <v>0</v>
      </c>
      <c r="M28" s="76"/>
      <c r="N28" s="80">
        <v>0</v>
      </c>
      <c r="O28" s="48"/>
      <c r="P28" s="3228">
        <f>' Exhbit I '!Q69</f>
        <v>0</v>
      </c>
      <c r="Q28" s="1160"/>
      <c r="R28" s="1166">
        <f>+' Exhbit I '!AD69</f>
        <v>0</v>
      </c>
      <c r="S28" s="50"/>
      <c r="T28" s="50"/>
      <c r="U28" s="51"/>
      <c r="V28" s="1161">
        <f t="shared" si="4"/>
        <v>4121</v>
      </c>
      <c r="W28" s="47" t="s">
        <v>16</v>
      </c>
      <c r="X28" s="47">
        <f t="shared" si="5"/>
        <v>26422.5</v>
      </c>
      <c r="Y28" s="50"/>
      <c r="Z28" s="52"/>
      <c r="AA28" s="51"/>
      <c r="AB28" s="1161">
        <v>3652.2</v>
      </c>
      <c r="AC28" s="47" t="s">
        <v>16</v>
      </c>
      <c r="AD28" s="47">
        <f>ROUND(+'Exh F'!AF100+'Exhibit G'!AF93+'Exhibit H'!F46+' Exhbit I '!AG69,1)</f>
        <v>24149.1</v>
      </c>
      <c r="AE28" s="51"/>
      <c r="AF28" s="55"/>
      <c r="AG28" s="47">
        <f t="shared" si="6"/>
        <v>2273.4</v>
      </c>
      <c r="AI28" s="45">
        <f t="shared" si="7"/>
        <v>9.4E-2</v>
      </c>
      <c r="AJ28" s="29"/>
      <c r="AK28" s="1"/>
      <c r="AL28" s="1"/>
    </row>
    <row r="29" spans="1:38" ht="18" customHeight="1">
      <c r="A29" s="1865" t="s">
        <v>31</v>
      </c>
      <c r="B29" s="46"/>
      <c r="C29" s="15"/>
      <c r="D29" s="3050">
        <f>+'Exh F'!P101</f>
        <v>43.4</v>
      </c>
      <c r="E29" s="47"/>
      <c r="F29" s="48">
        <f>+'Exh F'!AC101</f>
        <v>471.9</v>
      </c>
      <c r="G29" s="47"/>
      <c r="H29" s="3228">
        <f>+'Exhibit G'!P94</f>
        <v>383.9</v>
      </c>
      <c r="I29" s="47"/>
      <c r="J29" s="48">
        <f>+'Exhibit G'!AC94</f>
        <v>2320.6999999999998</v>
      </c>
      <c r="K29" s="47"/>
      <c r="L29" s="3015">
        <v>0</v>
      </c>
      <c r="M29" s="76"/>
      <c r="N29" s="80">
        <v>0</v>
      </c>
      <c r="O29" s="48"/>
      <c r="P29" s="3228">
        <f>' Exhbit I '!Q70</f>
        <v>6.5</v>
      </c>
      <c r="Q29" s="1160"/>
      <c r="R29" s="1162">
        <f>+' Exhbit I '!AD70</f>
        <v>60.4</v>
      </c>
      <c r="S29" s="50"/>
      <c r="T29" s="50"/>
      <c r="U29" s="51"/>
      <c r="V29" s="1161">
        <f t="shared" si="4"/>
        <v>433.8</v>
      </c>
      <c r="W29" s="47" t="s">
        <v>16</v>
      </c>
      <c r="X29" s="47">
        <f t="shared" si="5"/>
        <v>2853</v>
      </c>
      <c r="Y29" s="50"/>
      <c r="Z29" s="52"/>
      <c r="AA29" s="51"/>
      <c r="AB29" s="1161">
        <v>370.3</v>
      </c>
      <c r="AC29" s="47" t="s">
        <v>16</v>
      </c>
      <c r="AD29" s="47">
        <f>ROUND(+'Exh F'!AF101+'Exhibit G'!AF94+' Exhbit I '!AG70,1)</f>
        <v>2901.5</v>
      </c>
      <c r="AE29" s="51"/>
      <c r="AF29" s="55"/>
      <c r="AG29" s="47">
        <f t="shared" si="6"/>
        <v>-48.5</v>
      </c>
      <c r="AI29" s="45">
        <f t="shared" si="7"/>
        <v>-1.7000000000000001E-2</v>
      </c>
      <c r="AJ29" s="29"/>
      <c r="AK29" s="1"/>
      <c r="AL29" s="1"/>
    </row>
    <row r="30" spans="1:38" ht="18" customHeight="1">
      <c r="A30" s="1865" t="s">
        <v>32</v>
      </c>
      <c r="B30" s="36"/>
      <c r="C30" s="15"/>
      <c r="D30" s="3050">
        <f>+'Exh F'!P102</f>
        <v>5.9</v>
      </c>
      <c r="E30" s="47"/>
      <c r="F30" s="48">
        <f>+'Exh F'!AC102</f>
        <v>90.2</v>
      </c>
      <c r="G30" s="47"/>
      <c r="H30" s="3228">
        <f>+'Exhibit G'!P95</f>
        <v>40.699999999999996</v>
      </c>
      <c r="I30" s="47"/>
      <c r="J30" s="48">
        <f>+'Exhibit G'!AC95</f>
        <v>1013.9</v>
      </c>
      <c r="K30" s="47"/>
      <c r="L30" s="3015">
        <v>0</v>
      </c>
      <c r="M30" s="76"/>
      <c r="N30" s="80">
        <v>0</v>
      </c>
      <c r="O30" s="48"/>
      <c r="P30" s="3228">
        <f>' Exhbit I '!Q71</f>
        <v>0</v>
      </c>
      <c r="Q30" s="1160"/>
      <c r="R30" s="1166">
        <f>+' Exhbit I '!AD71</f>
        <v>0</v>
      </c>
      <c r="S30" s="50"/>
      <c r="T30" s="50"/>
      <c r="U30" s="51"/>
      <c r="V30" s="1161">
        <f t="shared" si="4"/>
        <v>46.6</v>
      </c>
      <c r="W30" s="47" t="s">
        <v>16</v>
      </c>
      <c r="X30" s="47">
        <f t="shared" si="5"/>
        <v>1104.0999999999999</v>
      </c>
      <c r="Y30" s="50"/>
      <c r="Z30" s="52"/>
      <c r="AA30" s="51"/>
      <c r="AB30" s="1161">
        <v>186.4</v>
      </c>
      <c r="AC30" s="47" t="s">
        <v>16</v>
      </c>
      <c r="AD30" s="47">
        <f>ROUND(+'Exh F'!AF102+'Exhibit G'!AF95+' Exhbit I '!AG71,1)</f>
        <v>1456.3</v>
      </c>
      <c r="AE30" s="51"/>
      <c r="AF30" s="55"/>
      <c r="AG30" s="47">
        <f t="shared" si="6"/>
        <v>-352.2</v>
      </c>
      <c r="AI30" s="45">
        <f t="shared" si="7"/>
        <v>-0.24199999999999999</v>
      </c>
      <c r="AJ30" s="29"/>
      <c r="AK30" s="1"/>
      <c r="AL30" s="1"/>
    </row>
    <row r="31" spans="1:38" ht="18" customHeight="1">
      <c r="A31" s="1865" t="s">
        <v>33</v>
      </c>
      <c r="B31" s="15"/>
      <c r="C31" s="15"/>
      <c r="D31" s="3050">
        <f>+'Exh F'!P103</f>
        <v>266.39999999999998</v>
      </c>
      <c r="E31" s="47"/>
      <c r="F31" s="48">
        <f>+'Exh F'!AC103</f>
        <v>1485.4</v>
      </c>
      <c r="G31" s="47"/>
      <c r="H31" s="3228">
        <f>+'Exhibit G'!P96</f>
        <v>222.39999999999998</v>
      </c>
      <c r="I31" s="47"/>
      <c r="J31" s="48">
        <f>+'Exhibit G'!AC96</f>
        <v>2762.2</v>
      </c>
      <c r="K31" s="47"/>
      <c r="L31" s="3015">
        <v>0</v>
      </c>
      <c r="M31" s="76"/>
      <c r="N31" s="80">
        <v>0</v>
      </c>
      <c r="O31" s="48"/>
      <c r="P31" s="3228">
        <f>' Exhbit I '!Q72</f>
        <v>7.5</v>
      </c>
      <c r="Q31" s="1160"/>
      <c r="R31" s="1162">
        <f>+' Exhbit I '!AD72</f>
        <v>47.2</v>
      </c>
      <c r="S31" s="50"/>
      <c r="T31" s="50"/>
      <c r="U31" s="51"/>
      <c r="V31" s="1161">
        <f t="shared" si="4"/>
        <v>496.3</v>
      </c>
      <c r="W31" s="47" t="s">
        <v>16</v>
      </c>
      <c r="X31" s="47">
        <f t="shared" si="5"/>
        <v>4294.8</v>
      </c>
      <c r="Y31" s="50"/>
      <c r="Z31" s="52"/>
      <c r="AA31" s="51"/>
      <c r="AB31" s="1161">
        <v>438.5</v>
      </c>
      <c r="AC31" s="47" t="s">
        <v>16</v>
      </c>
      <c r="AD31" s="47">
        <f>ROUND(+'Exh F'!AF103+'Exhibit G'!AF96+' Exhbit I '!AG72,1)</f>
        <v>4577.7</v>
      </c>
      <c r="AE31" s="51"/>
      <c r="AF31" s="55"/>
      <c r="AG31" s="47">
        <f t="shared" si="6"/>
        <v>-282.89999999999998</v>
      </c>
      <c r="AI31" s="45">
        <f t="shared" si="7"/>
        <v>-6.2E-2</v>
      </c>
      <c r="AJ31" s="29"/>
      <c r="AK31" s="1"/>
      <c r="AL31" s="1"/>
    </row>
    <row r="32" spans="1:38" ht="18" customHeight="1">
      <c r="A32" s="1865" t="s">
        <v>34</v>
      </c>
      <c r="B32" s="36"/>
      <c r="C32" s="15"/>
      <c r="D32" s="3050">
        <f>+'Exh F'!P104</f>
        <v>7.2</v>
      </c>
      <c r="E32" s="47"/>
      <c r="F32" s="48">
        <f>+'Exh F'!AC104</f>
        <v>48.8</v>
      </c>
      <c r="G32" s="47"/>
      <c r="H32" s="3228">
        <f>+'Exhibit G'!P97</f>
        <v>3.1</v>
      </c>
      <c r="I32" s="47"/>
      <c r="J32" s="48">
        <f>+'Exhibit G'!AC97</f>
        <v>214</v>
      </c>
      <c r="K32" s="47"/>
      <c r="L32" s="3015">
        <v>0</v>
      </c>
      <c r="M32" s="76" t="s">
        <v>16</v>
      </c>
      <c r="N32" s="80">
        <v>0</v>
      </c>
      <c r="O32" s="48"/>
      <c r="P32" s="3228">
        <f>' Exhbit I '!Q73</f>
        <v>18.5</v>
      </c>
      <c r="Q32" s="1160"/>
      <c r="R32" s="1162">
        <f>+' Exhbit I '!AD73</f>
        <v>80.2</v>
      </c>
      <c r="S32" s="50"/>
      <c r="T32" s="50"/>
      <c r="U32" s="51"/>
      <c r="V32" s="1161">
        <f t="shared" si="4"/>
        <v>28.8</v>
      </c>
      <c r="W32" s="47" t="s">
        <v>16</v>
      </c>
      <c r="X32" s="47">
        <f t="shared" si="5"/>
        <v>343</v>
      </c>
      <c r="Y32" s="50"/>
      <c r="Z32" s="52"/>
      <c r="AA32" s="51"/>
      <c r="AB32" s="1161">
        <v>31.2</v>
      </c>
      <c r="AC32" s="47" t="s">
        <v>16</v>
      </c>
      <c r="AD32" s="47">
        <f>ROUND(+'Exh F'!AF104+'Exhibit G'!AF97+' Exhbit I '!AG73,1)</f>
        <v>528.79999999999995</v>
      </c>
      <c r="AE32" s="51"/>
      <c r="AF32" s="55"/>
      <c r="AG32" s="47">
        <f t="shared" si="6"/>
        <v>-185.8</v>
      </c>
      <c r="AI32" s="45">
        <f t="shared" si="7"/>
        <v>-0.35099999999999998</v>
      </c>
      <c r="AJ32" s="29"/>
      <c r="AK32" s="1"/>
      <c r="AL32" s="1"/>
    </row>
    <row r="33" spans="1:38" ht="18" customHeight="1">
      <c r="A33" s="1865" t="s">
        <v>35</v>
      </c>
      <c r="B33" s="15"/>
      <c r="C33" s="15"/>
      <c r="D33" s="3050">
        <f>+'Exh F'!P105</f>
        <v>0</v>
      </c>
      <c r="E33" s="47"/>
      <c r="F33" s="48">
        <f>+'Exh F'!AC105</f>
        <v>48.7</v>
      </c>
      <c r="G33" s="47"/>
      <c r="H33" s="3228">
        <f>+'Exhibit G'!P98</f>
        <v>340</v>
      </c>
      <c r="I33" s="47"/>
      <c r="J33" s="48">
        <f>+'Exhibit G'!AC98</f>
        <v>2609.8000000000002</v>
      </c>
      <c r="K33" s="47"/>
      <c r="L33" s="3015">
        <v>0</v>
      </c>
      <c r="M33" s="76"/>
      <c r="N33" s="80">
        <v>0</v>
      </c>
      <c r="O33" s="48"/>
      <c r="P33" s="3228">
        <f>' Exhbit I '!Q74</f>
        <v>53.599999999999994</v>
      </c>
      <c r="Q33" s="1160"/>
      <c r="R33" s="1162">
        <f>+' Exhbit I '!AD74</f>
        <v>453.3</v>
      </c>
      <c r="S33" s="50"/>
      <c r="T33" s="50"/>
      <c r="U33" s="51"/>
      <c r="V33" s="1161">
        <f>ROUND(SUM(D33)+SUM(H33)+SUM(L33)+SUM(P33),1)</f>
        <v>393.6</v>
      </c>
      <c r="W33" s="47" t="s">
        <v>16</v>
      </c>
      <c r="X33" s="47">
        <f>ROUND(SUM(F33)+SUM(J33)+SUM(N33)+SUM(R33),1)</f>
        <v>3111.8</v>
      </c>
      <c r="Y33" s="50"/>
      <c r="Z33" s="52"/>
      <c r="AA33" s="51"/>
      <c r="AB33" s="1161">
        <v>371.6</v>
      </c>
      <c r="AC33" s="47" t="s">
        <v>16</v>
      </c>
      <c r="AD33" s="47">
        <f>ROUND(+'Exh F'!AF105+'Exhibit G'!AF98+' Exhbit I '!AG74,1)</f>
        <v>3155.8</v>
      </c>
      <c r="AE33" s="51"/>
      <c r="AF33" s="55"/>
      <c r="AG33" s="47">
        <f t="shared" si="6"/>
        <v>-44</v>
      </c>
      <c r="AI33" s="45">
        <f t="shared" si="7"/>
        <v>-1.4E-2</v>
      </c>
      <c r="AJ33" s="29"/>
      <c r="AK33" s="1"/>
      <c r="AL33" s="1"/>
    </row>
    <row r="34" spans="1:38" ht="18" customHeight="1">
      <c r="A34" s="14" t="s">
        <v>36</v>
      </c>
      <c r="B34" s="15"/>
      <c r="C34" s="15"/>
      <c r="D34" s="67">
        <f>ROUND(SUM(D24:D33),1)</f>
        <v>2644.2</v>
      </c>
      <c r="E34" s="69"/>
      <c r="F34" s="67">
        <f>ROUND(SUM(F24:F33),1)</f>
        <v>21061.8</v>
      </c>
      <c r="G34" s="65"/>
      <c r="H34" s="67">
        <f>ROUND(SUM(H24:H33),1)</f>
        <v>4449.8999999999996</v>
      </c>
      <c r="I34" s="65"/>
      <c r="J34" s="67">
        <f>ROUND(SUM(J24:J33),1)</f>
        <v>33363.9</v>
      </c>
      <c r="K34" s="65"/>
      <c r="L34" s="3230">
        <f>ROUND(SUM(L24:L33),1)</f>
        <v>0</v>
      </c>
      <c r="M34" s="3027"/>
      <c r="N34" s="3230">
        <f>ROUND(SUM(N24:N33),1)</f>
        <v>0</v>
      </c>
      <c r="O34" s="3027"/>
      <c r="P34" s="64">
        <f>ROUND(SUM(P24:P33),1)</f>
        <v>112.5</v>
      </c>
      <c r="Q34" s="65"/>
      <c r="R34" s="64">
        <f>ROUND(SUM(R24:R33),1)</f>
        <v>725.5</v>
      </c>
      <c r="S34" s="68"/>
      <c r="T34" s="68"/>
      <c r="U34" s="69"/>
      <c r="V34" s="66">
        <f>ROUND(SUM(V24:V33),1)</f>
        <v>7206.6</v>
      </c>
      <c r="W34" s="65"/>
      <c r="X34" s="66">
        <f>ROUND(SUM(X24:X33),1)</f>
        <v>55151.199999999997</v>
      </c>
      <c r="Y34" s="68"/>
      <c r="Z34" s="70"/>
      <c r="AA34" s="69"/>
      <c r="AB34" s="66">
        <f>ROUND(SUM(AB23:AB33),1)</f>
        <v>6955.1</v>
      </c>
      <c r="AC34" s="65"/>
      <c r="AD34" s="66">
        <f>ROUND(SUM(AD23:AD33),1)</f>
        <v>53133.2</v>
      </c>
      <c r="AE34" s="71"/>
      <c r="AF34" s="72"/>
      <c r="AG34" s="66">
        <f>ROUND(SUM(AG24:AG33),1)</f>
        <v>2018</v>
      </c>
      <c r="AH34" s="73"/>
      <c r="AI34" s="74">
        <f>ROUND(SUM((+X34-AD34)/AD34),3)</f>
        <v>3.7999999999999999E-2</v>
      </c>
      <c r="AJ34" s="18"/>
      <c r="AK34" s="1"/>
      <c r="AL34" s="1"/>
    </row>
    <row r="35" spans="1:38" ht="18" customHeight="1">
      <c r="A35" s="15" t="s">
        <v>37</v>
      </c>
      <c r="B35" s="84"/>
      <c r="C35" s="15"/>
      <c r="D35" s="1162"/>
      <c r="E35" s="47"/>
      <c r="F35" s="48"/>
      <c r="G35" s="47"/>
      <c r="H35" s="1162"/>
      <c r="I35" s="47"/>
      <c r="J35" s="48"/>
      <c r="K35" s="47"/>
      <c r="L35" s="1162"/>
      <c r="M35" s="48"/>
      <c r="N35" s="48"/>
      <c r="O35" s="48"/>
      <c r="P35" s="1162"/>
      <c r="Q35" s="1161"/>
      <c r="R35" s="1162"/>
      <c r="S35" s="50"/>
      <c r="T35" s="50"/>
      <c r="U35" s="51"/>
      <c r="V35" s="1161"/>
      <c r="W35" s="47"/>
      <c r="X35" s="47"/>
      <c r="Y35" s="50"/>
      <c r="Z35" s="52"/>
      <c r="AA35" s="51"/>
      <c r="AB35" s="1161"/>
      <c r="AC35" s="47"/>
      <c r="AD35" s="54"/>
      <c r="AE35" s="54"/>
      <c r="AF35" s="55"/>
      <c r="AG35" s="47"/>
      <c r="AI35" s="19"/>
      <c r="AJ35" s="29"/>
      <c r="AK35" s="1"/>
      <c r="AL35" s="1"/>
    </row>
    <row r="36" spans="1:38" ht="18" customHeight="1">
      <c r="A36" s="15" t="s">
        <v>38</v>
      </c>
      <c r="B36" s="83"/>
      <c r="C36" s="15"/>
      <c r="D36" s="1162">
        <f>+'Exh F'!P108</f>
        <v>526.20000000000005</v>
      </c>
      <c r="E36" s="47"/>
      <c r="F36" s="48">
        <f>+'Exh F'!AC108</f>
        <v>3451.1</v>
      </c>
      <c r="G36" s="47"/>
      <c r="H36" s="3228">
        <f>+'Exhibit G'!P101</f>
        <v>650.20000000000005</v>
      </c>
      <c r="I36" s="47"/>
      <c r="J36" s="48">
        <f>+'Exhibit G'!AC101</f>
        <v>4324.3</v>
      </c>
      <c r="K36" s="47"/>
      <c r="L36" s="1168">
        <v>0</v>
      </c>
      <c r="M36" s="48"/>
      <c r="N36" s="58">
        <v>0</v>
      </c>
      <c r="O36" s="48"/>
      <c r="P36" s="1168">
        <f>' Exhbit I '!M77</f>
        <v>0</v>
      </c>
      <c r="Q36" s="1161"/>
      <c r="R36" s="1168">
        <f>+' Exhbit I '!AD77</f>
        <v>0</v>
      </c>
      <c r="S36" s="50"/>
      <c r="T36" s="50"/>
      <c r="U36" s="51"/>
      <c r="V36" s="1161">
        <f>ROUND(SUM(D36)+SUM(H36)+SUM(L36)+SUM(P36),1)</f>
        <v>1176.4000000000001</v>
      </c>
      <c r="W36" s="47" t="s">
        <v>16</v>
      </c>
      <c r="X36" s="47">
        <f>ROUND(SUM(F36)+SUM(J36)+SUM(N36)+SUM(R36),1)</f>
        <v>7775.4</v>
      </c>
      <c r="Y36" s="50"/>
      <c r="Z36" s="52"/>
      <c r="AA36" s="51"/>
      <c r="AB36" s="1161">
        <v>1154.0999999999999</v>
      </c>
      <c r="AC36" s="87"/>
      <c r="AD36" s="47">
        <f>ROUND(+'Exh F'!AF108+'Exhibit G'!AF101+' Exhbit I '!AG77,1)</f>
        <v>7701.3</v>
      </c>
      <c r="AE36" s="51"/>
      <c r="AF36" s="55"/>
      <c r="AG36" s="47">
        <f>ROUND(SUM(X36-AD36),1)</f>
        <v>74.099999999999994</v>
      </c>
      <c r="AI36" s="45">
        <f>ROUND(SUM((+X36-AD36)/AD36),3)</f>
        <v>0.01</v>
      </c>
      <c r="AJ36" s="29"/>
      <c r="AK36" s="1"/>
      <c r="AL36" s="1"/>
    </row>
    <row r="37" spans="1:38" ht="18" customHeight="1">
      <c r="A37" s="15" t="s">
        <v>39</v>
      </c>
      <c r="B37" s="84"/>
      <c r="C37" s="15"/>
      <c r="D37" s="1162">
        <f>+'Exh F'!P109</f>
        <v>171.3</v>
      </c>
      <c r="E37" s="47"/>
      <c r="F37" s="48">
        <f>+'Exh F'!AC109</f>
        <v>978.8</v>
      </c>
      <c r="G37" s="47"/>
      <c r="H37" s="3228">
        <f>+'Exhibit G'!P102</f>
        <v>476.6</v>
      </c>
      <c r="I37" s="47"/>
      <c r="J37" s="48">
        <f>+'Exhibit G'!AC102</f>
        <v>2771</v>
      </c>
      <c r="K37" s="47"/>
      <c r="L37" s="3228">
        <f>+'Exhibit H'!N48</f>
        <v>0.9</v>
      </c>
      <c r="M37" s="48"/>
      <c r="N37" s="48">
        <f>+'Exhibit H'!AA48</f>
        <v>21.6</v>
      </c>
      <c r="O37" s="48" t="s">
        <v>16</v>
      </c>
      <c r="P37" s="1168">
        <f>' Exhbit I '!M78</f>
        <v>0</v>
      </c>
      <c r="Q37" s="1161"/>
      <c r="R37" s="1168">
        <f>+' Exhbit I '!AD78</f>
        <v>0</v>
      </c>
      <c r="S37" s="50"/>
      <c r="T37" s="50"/>
      <c r="U37" s="51"/>
      <c r="V37" s="1161">
        <f>ROUND(SUM(D37)+SUM(H37)+SUM(L37)+SUM(P37),1)</f>
        <v>648.79999999999995</v>
      </c>
      <c r="W37" s="47" t="s">
        <v>16</v>
      </c>
      <c r="X37" s="47">
        <f>ROUND(SUM(F37)+SUM(J37)+SUM(N37)+SUM(R37),1)</f>
        <v>3771.4</v>
      </c>
      <c r="Y37" s="50"/>
      <c r="Z37" s="52"/>
      <c r="AA37" s="51"/>
      <c r="AB37" s="1171">
        <v>561.70000000000005</v>
      </c>
      <c r="AC37" s="88"/>
      <c r="AD37" s="47">
        <f>ROUND(+'Exh F'!AF109+'Exhibit G'!AF102+' Exhbit I '!AG78+'Exhibit H'!AD48,1)</f>
        <v>3613.1</v>
      </c>
      <c r="AE37" s="51"/>
      <c r="AF37" s="55"/>
      <c r="AG37" s="47">
        <f>ROUND(SUM(X37-AD37),1)</f>
        <v>158.30000000000001</v>
      </c>
      <c r="AI37" s="45">
        <f>ROUND(SUM((+X37-AD37)/AD37),3)</f>
        <v>4.3999999999999997E-2</v>
      </c>
      <c r="AJ37" s="29"/>
      <c r="AK37" s="1"/>
      <c r="AL37" s="1"/>
    </row>
    <row r="38" spans="1:38" ht="18" customHeight="1">
      <c r="A38" s="15" t="s">
        <v>40</v>
      </c>
      <c r="B38" s="36"/>
      <c r="C38" s="15"/>
      <c r="D38" s="1162">
        <f>+'Exh F'!P110</f>
        <v>406.1</v>
      </c>
      <c r="E38" s="47"/>
      <c r="F38" s="48">
        <f>+'Exh F'!AC110</f>
        <v>3895.8</v>
      </c>
      <c r="G38" s="89"/>
      <c r="H38" s="3228">
        <f>+'Exhibit G'!P103</f>
        <v>104.6</v>
      </c>
      <c r="I38" s="47"/>
      <c r="J38" s="48">
        <f>+'Exhibit G'!AC103</f>
        <v>1175.7</v>
      </c>
      <c r="K38" s="47"/>
      <c r="L38" s="1168">
        <v>0</v>
      </c>
      <c r="M38" s="48"/>
      <c r="N38" s="58">
        <v>0</v>
      </c>
      <c r="O38" s="48"/>
      <c r="P38" s="1168">
        <f>' Exhbit I '!M79</f>
        <v>0</v>
      </c>
      <c r="Q38" s="1161"/>
      <c r="R38" s="1168">
        <f>+' Exhbit I '!AD79</f>
        <v>0</v>
      </c>
      <c r="S38" s="50"/>
      <c r="T38" s="50"/>
      <c r="U38" s="51"/>
      <c r="V38" s="1161">
        <f>ROUND(SUM(D38)+SUM(H38)+SUM(L38)+SUM(P38),1)</f>
        <v>510.7</v>
      </c>
      <c r="W38" s="47" t="s">
        <v>16</v>
      </c>
      <c r="X38" s="47">
        <f>ROUND(SUM(F38)+SUM(J38)+SUM(N38)+SUM(R38),1)</f>
        <v>5071.5</v>
      </c>
      <c r="Y38" s="50"/>
      <c r="Z38" s="52"/>
      <c r="AA38" s="51"/>
      <c r="AB38" s="1171">
        <v>715.9</v>
      </c>
      <c r="AC38" s="53"/>
      <c r="AD38" s="47">
        <f>ROUND(+'Exh F'!AF110+'Exhibit G'!AF103+' Exhbit I '!AG79,1)</f>
        <v>4129.2</v>
      </c>
      <c r="AE38" s="51"/>
      <c r="AF38" s="55"/>
      <c r="AG38" s="47">
        <f>ROUND(SUM(X38-AD38),1)</f>
        <v>942.3</v>
      </c>
      <c r="AI38" s="45">
        <f>ROUND(SUM((+X38-AD38)/AD38),3)</f>
        <v>0.22800000000000001</v>
      </c>
      <c r="AJ38" s="29"/>
      <c r="AK38" s="1"/>
      <c r="AL38" s="1"/>
    </row>
    <row r="39" spans="1:38" ht="18" customHeight="1">
      <c r="A39" s="15" t="s">
        <v>41</v>
      </c>
      <c r="B39" s="15"/>
      <c r="C39" s="15"/>
      <c r="D39" s="1162"/>
      <c r="E39" s="47"/>
      <c r="F39" s="48"/>
      <c r="G39" s="47"/>
      <c r="H39" s="1162"/>
      <c r="I39" s="47"/>
      <c r="J39" s="90"/>
      <c r="K39" s="47"/>
      <c r="L39" s="1162"/>
      <c r="M39" s="48"/>
      <c r="N39" s="48"/>
      <c r="O39" s="48"/>
      <c r="P39" s="1168"/>
      <c r="Q39" s="1161"/>
      <c r="R39" s="1162"/>
      <c r="S39" s="50"/>
      <c r="T39" s="50"/>
      <c r="U39" s="51"/>
      <c r="V39" s="1161"/>
      <c r="W39" s="47"/>
      <c r="X39" s="47"/>
      <c r="Y39" s="50"/>
      <c r="Z39" s="52"/>
      <c r="AA39" s="51"/>
      <c r="AB39" s="1171"/>
      <c r="AC39" s="53"/>
      <c r="AD39" s="54"/>
      <c r="AE39" s="51"/>
      <c r="AF39" s="55"/>
      <c r="AG39" s="47"/>
      <c r="AI39" s="45"/>
      <c r="AJ39" s="29"/>
      <c r="AK39" s="1"/>
      <c r="AL39" s="1"/>
    </row>
    <row r="40" spans="1:38" ht="18" customHeight="1">
      <c r="A40" s="15" t="s">
        <v>42</v>
      </c>
      <c r="B40" s="36"/>
      <c r="C40" s="15"/>
      <c r="D40" s="1168">
        <v>0</v>
      </c>
      <c r="E40" s="47"/>
      <c r="F40" s="58">
        <v>0</v>
      </c>
      <c r="G40" s="47"/>
      <c r="H40" s="1168">
        <v>0</v>
      </c>
      <c r="I40" s="47"/>
      <c r="J40" s="58">
        <v>0</v>
      </c>
      <c r="K40" s="47"/>
      <c r="L40" s="1162">
        <f>+'Exhibit H'!N50</f>
        <v>144.6</v>
      </c>
      <c r="M40" s="48"/>
      <c r="N40" s="48">
        <f>+'Exhibit H'!AA50</f>
        <v>2052.3000000000002</v>
      </c>
      <c r="O40" s="48" t="s">
        <v>16</v>
      </c>
      <c r="P40" s="1168">
        <v>0</v>
      </c>
      <c r="Q40" s="1161"/>
      <c r="R40" s="1168">
        <v>0</v>
      </c>
      <c r="S40" s="50"/>
      <c r="T40" s="50"/>
      <c r="U40" s="51"/>
      <c r="V40" s="1161">
        <f>ROUND(SUM(D40)+SUM(H40)+SUM(L40)+SUM(P40),1)</f>
        <v>144.6</v>
      </c>
      <c r="W40" s="47" t="s">
        <v>16</v>
      </c>
      <c r="X40" s="47">
        <f>ROUND(SUM(F40)+SUM(J40)+SUM(N40)+SUM(R40),1)</f>
        <v>2052.3000000000002</v>
      </c>
      <c r="Y40" s="50"/>
      <c r="Z40" s="52"/>
      <c r="AA40" s="51"/>
      <c r="AB40" s="1171">
        <v>219.3</v>
      </c>
      <c r="AC40" s="53"/>
      <c r="AD40" s="54">
        <f>ROUND(+'Exhibit H'!AD50,1)</f>
        <v>2305.4</v>
      </c>
      <c r="AE40" s="51"/>
      <c r="AF40" s="55"/>
      <c r="AG40" s="47">
        <f>ROUND(SUM(X40-AD40),1)</f>
        <v>-253.1</v>
      </c>
      <c r="AI40" s="45">
        <f>ROUND(SUM((+X40-AD40)/AD40),3)</f>
        <v>-0.11</v>
      </c>
      <c r="AJ40" s="23"/>
      <c r="AK40" s="1"/>
      <c r="AL40" s="1"/>
    </row>
    <row r="41" spans="1:38" ht="18" customHeight="1">
      <c r="A41" s="15" t="s">
        <v>43</v>
      </c>
      <c r="B41" s="36" t="s">
        <v>1301</v>
      </c>
      <c r="C41" s="15"/>
      <c r="D41" s="3225">
        <v>0</v>
      </c>
      <c r="E41" s="47"/>
      <c r="F41" s="86">
        <v>0</v>
      </c>
      <c r="G41" s="47"/>
      <c r="H41" s="3228">
        <f>+'Exhibit G'!P104</f>
        <v>0.1</v>
      </c>
      <c r="I41" s="47"/>
      <c r="J41" s="48">
        <f>+'Exhibit G'!AC104</f>
        <v>1</v>
      </c>
      <c r="K41" s="47"/>
      <c r="L41" s="3225">
        <v>0</v>
      </c>
      <c r="M41" s="48"/>
      <c r="N41" s="86">
        <v>0</v>
      </c>
      <c r="O41" s="48"/>
      <c r="P41" s="3228">
        <f>' Exhbit I '!Q80</f>
        <v>477.2</v>
      </c>
      <c r="Q41" s="1161"/>
      <c r="R41" s="1169">
        <f>+' Exhbit I '!AD80</f>
        <v>3139.8</v>
      </c>
      <c r="S41" s="50"/>
      <c r="T41" s="50"/>
      <c r="U41" s="51"/>
      <c r="V41" s="1161">
        <f>ROUND(SUM(D41)+SUM(H41)+SUM(L41)+SUM(P41),1)</f>
        <v>477.3</v>
      </c>
      <c r="W41" s="47" t="s">
        <v>16</v>
      </c>
      <c r="X41" s="47">
        <f>ROUND(SUM(F41)+SUM(J41)+SUM(N41)+SUM(R41),1)</f>
        <v>3140.8</v>
      </c>
      <c r="Y41" s="50"/>
      <c r="Z41" s="52"/>
      <c r="AA41" s="51"/>
      <c r="AB41" s="1170">
        <v>495.6</v>
      </c>
      <c r="AC41" s="53"/>
      <c r="AD41" s="54">
        <f>ROUND(+'Exhibit G state'!AH103+' Exhibit I State'!AI79+'Exhibit I Federal'!AI61,1)</f>
        <v>3306.1</v>
      </c>
      <c r="AE41" s="51"/>
      <c r="AF41" s="55"/>
      <c r="AG41" s="47">
        <f>ROUND(SUM(X41-AD41),1)</f>
        <v>-165.3</v>
      </c>
      <c r="AI41" s="45">
        <f>ROUND(SUM((+X41-AD41)/AD41),3)</f>
        <v>-0.05</v>
      </c>
      <c r="AJ41" s="23"/>
      <c r="AK41" s="1"/>
      <c r="AL41" s="1"/>
    </row>
    <row r="42" spans="1:38" ht="18" customHeight="1">
      <c r="A42" s="14" t="s">
        <v>44</v>
      </c>
      <c r="B42" s="15"/>
      <c r="C42" s="15"/>
      <c r="D42" s="67">
        <f>ROUND(SUM(D34:D41),1)</f>
        <v>3747.8</v>
      </c>
      <c r="E42" s="65"/>
      <c r="F42" s="67">
        <f>ROUND(SUM(F34:F41),1)</f>
        <v>29387.5</v>
      </c>
      <c r="G42" s="65"/>
      <c r="H42" s="67">
        <f>ROUND(SUM(H34:H41),1)</f>
        <v>5681.4</v>
      </c>
      <c r="I42" s="65"/>
      <c r="J42" s="67">
        <f>ROUND(SUM(J34:J41),1)</f>
        <v>41635.9</v>
      </c>
      <c r="K42" s="65"/>
      <c r="L42" s="67">
        <f>ROUND(SUM(L34:L41),1)</f>
        <v>145.5</v>
      </c>
      <c r="M42" s="3027"/>
      <c r="N42" s="67">
        <f>ROUND(SUM(N34:N41),1)</f>
        <v>2073.9</v>
      </c>
      <c r="O42" s="3027"/>
      <c r="P42" s="67">
        <f>ROUND(SUM(P34:P41),1)</f>
        <v>589.70000000000005</v>
      </c>
      <c r="Q42" s="65"/>
      <c r="R42" s="67">
        <f>ROUND(SUM(R34:R41),1)</f>
        <v>3865.3</v>
      </c>
      <c r="S42" s="68"/>
      <c r="T42" s="68"/>
      <c r="U42" s="69"/>
      <c r="V42" s="66">
        <f>ROUND(SUM(V34:V41),1)</f>
        <v>10164.4</v>
      </c>
      <c r="W42" s="65"/>
      <c r="X42" s="66">
        <f>ROUND(SUM(X34:X41),1)</f>
        <v>76962.600000000006</v>
      </c>
      <c r="Y42" s="68"/>
      <c r="Z42" s="70"/>
      <c r="AA42" s="69"/>
      <c r="AB42" s="66">
        <f>ROUND(SUM(AB34:AB41),1)</f>
        <v>10101.700000000001</v>
      </c>
      <c r="AC42" s="65"/>
      <c r="AD42" s="66">
        <f>ROUND(SUM(AD34:AD41),1)</f>
        <v>74188.3</v>
      </c>
      <c r="AE42" s="71"/>
      <c r="AF42" s="72"/>
      <c r="AG42" s="66">
        <f>ROUND(SUM(AG34:AG41),1)</f>
        <v>2774.3</v>
      </c>
      <c r="AH42" s="73"/>
      <c r="AI42" s="74">
        <f>ROUND(SUM((+X42-AD42)/AD42),3)</f>
        <v>3.6999999999999998E-2</v>
      </c>
      <c r="AJ42" s="18"/>
      <c r="AK42" s="1"/>
      <c r="AL42" s="1"/>
    </row>
    <row r="43" spans="1:38" ht="15.95" customHeight="1">
      <c r="A43" s="14"/>
      <c r="B43" s="15"/>
      <c r="C43" s="15"/>
      <c r="D43" s="1164"/>
      <c r="E43" s="47"/>
      <c r="F43" s="76"/>
      <c r="G43" s="47"/>
      <c r="H43" s="1164"/>
      <c r="I43" s="47"/>
      <c r="J43" s="76"/>
      <c r="K43" s="47"/>
      <c r="L43" s="1164"/>
      <c r="M43" s="48"/>
      <c r="N43" s="76"/>
      <c r="O43" s="48"/>
      <c r="P43" s="3231"/>
      <c r="Q43" s="1161"/>
      <c r="R43" s="1164"/>
      <c r="S43" s="50"/>
      <c r="T43" s="50"/>
      <c r="U43" s="51"/>
      <c r="V43" s="1163"/>
      <c r="W43" s="47"/>
      <c r="X43" s="51"/>
      <c r="Y43" s="50"/>
      <c r="Z43" s="52"/>
      <c r="AA43" s="51"/>
      <c r="AB43" s="1163" t="s">
        <v>16</v>
      </c>
      <c r="AC43" s="47"/>
      <c r="AD43" s="54"/>
      <c r="AE43" s="54"/>
      <c r="AF43" s="55"/>
      <c r="AG43" s="51"/>
      <c r="AI43" s="19"/>
      <c r="AJ43" s="29"/>
      <c r="AK43" s="1"/>
      <c r="AL43" s="1"/>
    </row>
    <row r="44" spans="1:38" ht="15.95" customHeight="1">
      <c r="A44" s="14" t="s">
        <v>45</v>
      </c>
      <c r="B44" s="14"/>
      <c r="C44" s="15"/>
      <c r="D44" s="1162"/>
      <c r="E44" s="47"/>
      <c r="F44" s="48"/>
      <c r="G44" s="47"/>
      <c r="H44" s="1162"/>
      <c r="I44" s="47"/>
      <c r="J44" s="48"/>
      <c r="K44" s="47"/>
      <c r="L44" s="1162"/>
      <c r="M44" s="48"/>
      <c r="N44" s="48"/>
      <c r="O44" s="48"/>
      <c r="P44" s="3228"/>
      <c r="Q44" s="1161"/>
      <c r="R44" s="1162"/>
      <c r="S44" s="50"/>
      <c r="T44" s="50"/>
      <c r="U44" s="51"/>
      <c r="V44" s="1161"/>
      <c r="W44" s="47"/>
      <c r="X44" s="47"/>
      <c r="Y44" s="50"/>
      <c r="Z44" s="52"/>
      <c r="AA44" s="51"/>
      <c r="AB44" s="1161"/>
      <c r="AC44" s="47"/>
      <c r="AD44" s="54"/>
      <c r="AE44" s="54"/>
      <c r="AF44" s="55"/>
      <c r="AG44" s="47"/>
      <c r="AI44" s="19"/>
      <c r="AJ44" s="29"/>
      <c r="AK44" s="1"/>
      <c r="AL44" s="1"/>
    </row>
    <row r="45" spans="1:38" ht="15.95" customHeight="1">
      <c r="A45" s="14" t="s">
        <v>46</v>
      </c>
      <c r="B45" s="14"/>
      <c r="C45" s="15"/>
      <c r="D45" s="93">
        <f>ROUND(SUM(D20-D42),1)</f>
        <v>-665.7</v>
      </c>
      <c r="E45" s="65"/>
      <c r="F45" s="93">
        <f>ROUND(SUM(F20-F42),1)</f>
        <v>749.5</v>
      </c>
      <c r="G45" s="65"/>
      <c r="H45" s="93">
        <f>ROUND(SUM(H20-H42),1)</f>
        <v>-261.5</v>
      </c>
      <c r="I45" s="65"/>
      <c r="J45" s="93">
        <f>ROUND(SUM(J20-J42),1)</f>
        <v>-3385.4</v>
      </c>
      <c r="K45" s="65"/>
      <c r="L45" s="93">
        <f>ROUND(SUM(L20-L42),1)</f>
        <v>1053.7</v>
      </c>
      <c r="M45" s="3027" t="s">
        <v>16</v>
      </c>
      <c r="N45" s="93">
        <f>ROUND(SUM(N20-N42),1)</f>
        <v>8166.4</v>
      </c>
      <c r="O45" s="3027" t="s">
        <v>16</v>
      </c>
      <c r="P45" s="94">
        <f>ROUND(SUM(P20-P42),1)</f>
        <v>-204.6</v>
      </c>
      <c r="Q45" s="65" t="s">
        <v>16</v>
      </c>
      <c r="R45" s="94">
        <f>ROUND(SUM(R20-R42),1)</f>
        <v>-332.6</v>
      </c>
      <c r="S45" s="68"/>
      <c r="T45" s="68"/>
      <c r="U45" s="69"/>
      <c r="V45" s="92">
        <f>ROUND(SUM(V20-V42),1)</f>
        <v>-78.099999999999994</v>
      </c>
      <c r="W45" s="65" t="s">
        <v>16</v>
      </c>
      <c r="X45" s="92">
        <f>ROUND(SUM(X20-X42),1)</f>
        <v>5197.8999999999996</v>
      </c>
      <c r="Y45" s="68"/>
      <c r="Z45" s="70"/>
      <c r="AA45" s="69"/>
      <c r="AB45" s="92">
        <f>ROUND(SUM(AB20-AB42),1)</f>
        <v>87.6</v>
      </c>
      <c r="AC45" s="65"/>
      <c r="AD45" s="95">
        <f>ROUND(SUM(AD20-AD42),1)</f>
        <v>4058.1</v>
      </c>
      <c r="AE45" s="71"/>
      <c r="AF45" s="72"/>
      <c r="AG45" s="92">
        <f>ROUND(SUM(X45-AD45),1)</f>
        <v>1139.8</v>
      </c>
      <c r="AH45" s="96"/>
      <c r="AI45" s="97">
        <f>ROUND(SUM((+X45-AD45)/AD45),3)</f>
        <v>0.28100000000000003</v>
      </c>
      <c r="AJ45" s="18"/>
      <c r="AK45" s="1"/>
      <c r="AL45" s="1"/>
    </row>
    <row r="46" spans="1:38" ht="15.95" customHeight="1">
      <c r="A46" s="15"/>
      <c r="B46" s="15"/>
      <c r="C46" s="15"/>
      <c r="D46" s="1164"/>
      <c r="E46" s="47"/>
      <c r="F46" s="76"/>
      <c r="G46" s="47"/>
      <c r="H46" s="1164"/>
      <c r="I46" s="47"/>
      <c r="J46" s="76"/>
      <c r="K46" s="47"/>
      <c r="L46" s="1164"/>
      <c r="M46" s="48"/>
      <c r="N46" s="76"/>
      <c r="O46" s="48"/>
      <c r="P46" s="3231"/>
      <c r="Q46" s="1161"/>
      <c r="R46" s="1164"/>
      <c r="S46" s="50"/>
      <c r="T46" s="50"/>
      <c r="U46" s="51"/>
      <c r="V46" s="1163"/>
      <c r="W46" s="47"/>
      <c r="X46" s="51"/>
      <c r="Y46" s="50"/>
      <c r="Z46" s="52"/>
      <c r="AA46" s="51"/>
      <c r="AB46" s="1163"/>
      <c r="AC46" s="47"/>
      <c r="AD46" s="54"/>
      <c r="AE46" s="54"/>
      <c r="AF46" s="55"/>
      <c r="AG46" s="51"/>
      <c r="AI46" s="19"/>
      <c r="AJ46" s="29"/>
      <c r="AK46" s="1"/>
      <c r="AL46" s="1"/>
    </row>
    <row r="47" spans="1:38" ht="15.95" customHeight="1">
      <c r="A47" s="14" t="s">
        <v>47</v>
      </c>
      <c r="B47" s="14"/>
      <c r="C47" s="15"/>
      <c r="D47" s="1162"/>
      <c r="E47" s="47"/>
      <c r="F47" s="48"/>
      <c r="G47" s="47"/>
      <c r="H47" s="1162"/>
      <c r="I47" s="47"/>
      <c r="J47" s="48"/>
      <c r="K47" s="47"/>
      <c r="L47" s="1162"/>
      <c r="M47" s="48"/>
      <c r="N47" s="48"/>
      <c r="O47" s="48"/>
      <c r="P47" s="3228"/>
      <c r="Q47" s="1161"/>
      <c r="R47" s="1164"/>
      <c r="S47" s="50"/>
      <c r="T47" s="50"/>
      <c r="U47" s="51"/>
      <c r="V47" s="1161"/>
      <c r="W47" s="47"/>
      <c r="X47" s="53"/>
      <c r="Y47" s="50"/>
      <c r="Z47" s="52"/>
      <c r="AA47" s="51"/>
      <c r="AB47" s="1161"/>
      <c r="AC47" s="47"/>
      <c r="AD47" s="54"/>
      <c r="AE47" s="54"/>
      <c r="AF47" s="55"/>
      <c r="AG47" s="47"/>
      <c r="AI47" s="19"/>
      <c r="AJ47" s="29"/>
      <c r="AK47" s="1"/>
      <c r="AL47" s="1"/>
    </row>
    <row r="48" spans="1:38" ht="18" customHeight="1">
      <c r="A48" s="98" t="s">
        <v>48</v>
      </c>
      <c r="B48" s="15"/>
      <c r="C48" s="15"/>
      <c r="D48" s="3226">
        <v>0</v>
      </c>
      <c r="E48" s="47"/>
      <c r="F48" s="99">
        <v>0</v>
      </c>
      <c r="G48" s="47"/>
      <c r="H48" s="1168">
        <v>0</v>
      </c>
      <c r="I48" s="47"/>
      <c r="J48" s="58">
        <v>0</v>
      </c>
      <c r="K48" s="47"/>
      <c r="L48" s="1168">
        <v>0</v>
      </c>
      <c r="M48" s="76"/>
      <c r="N48" s="58">
        <v>0</v>
      </c>
      <c r="O48" s="76"/>
      <c r="P48" s="1168">
        <f>' Exhbit I '!Q88</f>
        <v>0</v>
      </c>
      <c r="Q48" s="1163"/>
      <c r="R48" s="1168">
        <f>' Exhbit I '!AD88</f>
        <v>0</v>
      </c>
      <c r="S48" s="50"/>
      <c r="T48" s="50"/>
      <c r="U48" s="51"/>
      <c r="V48" s="1161">
        <f>ROUND(SUM(D48)+SUM(H48)+SUM(L48)+SUM(P48),1)</f>
        <v>0</v>
      </c>
      <c r="W48" s="85"/>
      <c r="X48" s="47">
        <f>ROUND(SUM(F48)+SUM(J48)+SUM(N48)+SUM(R48),1)</f>
        <v>0</v>
      </c>
      <c r="Y48" s="50"/>
      <c r="Z48" s="52"/>
      <c r="AA48" s="51"/>
      <c r="AB48" s="1167">
        <v>0</v>
      </c>
      <c r="AC48" s="57"/>
      <c r="AD48" s="79">
        <f>+' Exhbit I '!AG88</f>
        <v>0</v>
      </c>
      <c r="AE48" s="85"/>
      <c r="AF48" s="100"/>
      <c r="AG48" s="51">
        <f>X48-AD48</f>
        <v>0</v>
      </c>
      <c r="AH48" s="101"/>
      <c r="AI48" s="3234">
        <f>ROUND(IF(AD48=0,0,AG48/(AD48)),3)</f>
        <v>0</v>
      </c>
      <c r="AJ48" s="102"/>
      <c r="AK48" s="1"/>
      <c r="AL48" s="1"/>
    </row>
    <row r="49" spans="1:40" ht="18" customHeight="1">
      <c r="A49" s="98" t="s">
        <v>49</v>
      </c>
      <c r="B49" s="103" t="s">
        <v>50</v>
      </c>
      <c r="C49" s="98"/>
      <c r="D49" s="1172">
        <f>+'Exh F'!P119+'Exh F'!P120+'Exh F'!P121+'Exh F'!P122</f>
        <v>958.99999999999989</v>
      </c>
      <c r="E49" s="47"/>
      <c r="F49" s="48">
        <f>+'Exh F'!AC119+'Exh F'!AC120+'Exh F'!AC121+'Exh F'!AC122</f>
        <v>9288.2999999999993</v>
      </c>
      <c r="G49" s="53"/>
      <c r="H49" s="1172">
        <f>+'Exhibit G'!P112</f>
        <v>345.6</v>
      </c>
      <c r="I49" s="53"/>
      <c r="J49" s="104">
        <f>+'Exhibit G'!AC112</f>
        <v>4415.6000000000004</v>
      </c>
      <c r="K49" s="54"/>
      <c r="L49" s="3227">
        <f>+'Exhibit H'!N59</f>
        <v>533</v>
      </c>
      <c r="M49" s="3232"/>
      <c r="N49" s="48">
        <f>+'Exhibit H'!AA59</f>
        <v>2304.3000000000002</v>
      </c>
      <c r="O49" s="3232"/>
      <c r="P49" s="1168">
        <f>' Exhbit I '!Q89</f>
        <v>177.3</v>
      </c>
      <c r="Q49" s="1170"/>
      <c r="R49" s="1164">
        <f>+' Exhbit I '!AD89</f>
        <v>473.7</v>
      </c>
      <c r="S49" s="105"/>
      <c r="T49" s="105"/>
      <c r="U49" s="54"/>
      <c r="V49" s="1161">
        <f>ROUND(SUM(D49)+SUM(H49)+SUM(L49)+SUM(P49),1)</f>
        <v>2014.9</v>
      </c>
      <c r="W49" s="53" t="s">
        <v>16</v>
      </c>
      <c r="X49" s="47">
        <f>ROUND(SUM(F49)+SUM(J49)+SUM(N49)+SUM(R49),1)</f>
        <v>16481.900000000001</v>
      </c>
      <c r="Y49" s="105"/>
      <c r="Z49" s="106"/>
      <c r="AA49" s="54"/>
      <c r="AB49" s="1171">
        <v>1975.9</v>
      </c>
      <c r="AC49" s="53"/>
      <c r="AD49" s="54">
        <f>+'Exh F'!AF119+'Exh F'!AF120+'Exh F'!AF121+'Exh F'!AF122+'Exhibit G'!AF112+'Exhibit H'!AD59+' Exhbit I '!AG89</f>
        <v>17468.500000000004</v>
      </c>
      <c r="AE49" s="54"/>
      <c r="AF49" s="55"/>
      <c r="AG49" s="51">
        <f>ROUND(SUM(X49-AD49),1)</f>
        <v>-986.6</v>
      </c>
      <c r="AH49" s="101"/>
      <c r="AI49" s="3234">
        <f>ROUND(SUM((+X49-AD49)/AD49),3)</f>
        <v>-5.6000000000000001E-2</v>
      </c>
      <c r="AJ49" s="29"/>
      <c r="AK49" s="1"/>
      <c r="AL49" s="1"/>
    </row>
    <row r="50" spans="1:40" ht="18" customHeight="1">
      <c r="A50" s="98" t="s">
        <v>51</v>
      </c>
      <c r="B50" s="103" t="s">
        <v>50</v>
      </c>
      <c r="C50" s="98"/>
      <c r="D50" s="3227">
        <f>+'Exh F'!P123+'Exh F'!P125+'Exh F'!P126</f>
        <v>-631.59999999999991</v>
      </c>
      <c r="E50" s="53"/>
      <c r="F50" s="48">
        <f>+'Exh F'!AC123+'Exh F'!AC125+'Exh F'!AC126</f>
        <v>-4558.5</v>
      </c>
      <c r="G50" s="53"/>
      <c r="H50" s="1172">
        <f>+'Exhibit G'!P113</f>
        <v>-271.2</v>
      </c>
      <c r="I50" s="53"/>
      <c r="J50" s="104">
        <f>+'Exhibit G'!AC113</f>
        <v>-1431.2</v>
      </c>
      <c r="K50" s="53"/>
      <c r="L50" s="3227">
        <f>+'Exhibit H'!N60</f>
        <v>-1039.7</v>
      </c>
      <c r="M50" s="3232"/>
      <c r="N50" s="48">
        <f>+'Exhibit H'!AA60</f>
        <v>-9852</v>
      </c>
      <c r="O50" s="3232"/>
      <c r="P50" s="1168">
        <f>' Exhbit I '!Q90</f>
        <v>-83.5</v>
      </c>
      <c r="Q50" s="1171"/>
      <c r="R50" s="1164">
        <f>+' Exhbit I '!AD90</f>
        <v>-747.2</v>
      </c>
      <c r="S50" s="105"/>
      <c r="T50" s="105"/>
      <c r="U50" s="54"/>
      <c r="V50" s="1161">
        <f>ROUND(SUM(D50)+SUM(H50)+SUM(L50)+SUM(P50),1)</f>
        <v>-2026</v>
      </c>
      <c r="W50" s="107" t="s">
        <v>16</v>
      </c>
      <c r="X50" s="47">
        <f>ROUND(SUM(F50)+SUM(J50)+SUM(N50)+SUM(R50),1)</f>
        <v>-16588.900000000001</v>
      </c>
      <c r="Y50" s="105"/>
      <c r="Z50" s="106"/>
      <c r="AA50" s="54"/>
      <c r="AB50" s="1170">
        <v>-1980.4</v>
      </c>
      <c r="AC50" s="53"/>
      <c r="AD50" s="54">
        <f>ROUND(+'Exh F'!AF123+'Exh F'!AF124+'Exh F'!AF125+'Exh F'!AF126+'Exhibit G'!AF113+'Exhibit H'!AD60+' Exhbit I '!AG90,1)</f>
        <v>-17506.900000000001</v>
      </c>
      <c r="AE50" s="54"/>
      <c r="AF50" s="55"/>
      <c r="AG50" s="91">
        <f>ROUND(SUM(X50-AD50),1)*-1</f>
        <v>-918</v>
      </c>
      <c r="AI50" s="3235">
        <f>ROUND(SUM((+X50-AD50)/AD50),3)</f>
        <v>-5.1999999999999998E-2</v>
      </c>
      <c r="AJ50" s="29"/>
      <c r="AK50" s="1"/>
      <c r="AL50" s="1"/>
    </row>
    <row r="51" spans="1:40" ht="18" customHeight="1">
      <c r="A51" s="14" t="s">
        <v>52</v>
      </c>
      <c r="B51" s="14"/>
      <c r="C51" s="15"/>
      <c r="D51" s="66">
        <f>ROUND(SUM(D48:D50),1)</f>
        <v>327.39999999999998</v>
      </c>
      <c r="E51" s="47"/>
      <c r="F51" s="67">
        <f>ROUND(SUM(F48:F50),1)</f>
        <v>4729.8</v>
      </c>
      <c r="G51" s="65"/>
      <c r="H51" s="67">
        <f>ROUND(SUM(H48:H50),1)</f>
        <v>74.400000000000006</v>
      </c>
      <c r="I51" s="65"/>
      <c r="J51" s="67">
        <f>ROUND(SUM(J48:J50),1)</f>
        <v>2984.4</v>
      </c>
      <c r="K51" s="65"/>
      <c r="L51" s="67">
        <f>ROUND(SUM(L48:L50),1)</f>
        <v>-506.7</v>
      </c>
      <c r="M51" s="3027"/>
      <c r="N51" s="67">
        <f>ROUND(SUM(N48:N50),1)</f>
        <v>-7547.7</v>
      </c>
      <c r="O51" s="3027"/>
      <c r="P51" s="64">
        <f>ROUND(SUM(P48:P50),1)</f>
        <v>93.8</v>
      </c>
      <c r="Q51" s="65"/>
      <c r="R51" s="64">
        <f>ROUND(SUM(R48:R50),1)</f>
        <v>-273.5</v>
      </c>
      <c r="S51" s="68"/>
      <c r="T51" s="68"/>
      <c r="U51" s="69"/>
      <c r="V51" s="109">
        <f>ROUND(SUM(+V49+V50),1)</f>
        <v>-11.1</v>
      </c>
      <c r="W51" s="65"/>
      <c r="X51" s="109">
        <f>ROUND(SUM(+X49+X50),1)</f>
        <v>-107</v>
      </c>
      <c r="Y51" s="68"/>
      <c r="Z51" s="70"/>
      <c r="AA51" s="69"/>
      <c r="AB51" s="109">
        <f>ROUND(SUM(+AB49+AB50),1)</f>
        <v>-4.5</v>
      </c>
      <c r="AC51" s="65"/>
      <c r="AD51" s="109">
        <f>ROUND(SUM(+AD49+AD50),1)</f>
        <v>-38.4</v>
      </c>
      <c r="AE51" s="110"/>
      <c r="AF51" s="72"/>
      <c r="AG51" s="62">
        <f>ROUND(SUM(+AG49-AG50),1)</f>
        <v>-68.599999999999994</v>
      </c>
      <c r="AH51" s="73"/>
      <c r="AI51" s="3236">
        <f>ROUND(SUM(-AG51/AD51),3)</f>
        <v>-1.786</v>
      </c>
      <c r="AJ51" s="18"/>
      <c r="AK51" s="1"/>
      <c r="AL51" s="1"/>
    </row>
    <row r="52" spans="1:40" ht="15.95" customHeight="1">
      <c r="A52" s="15"/>
      <c r="B52" s="15"/>
      <c r="C52" s="15"/>
      <c r="D52" s="1163"/>
      <c r="E52" s="47"/>
      <c r="F52" s="76"/>
      <c r="G52" s="47"/>
      <c r="H52" s="1164"/>
      <c r="I52" s="47"/>
      <c r="J52" s="76"/>
      <c r="K52" s="47"/>
      <c r="L52" s="1164"/>
      <c r="M52" s="48"/>
      <c r="N52" s="76"/>
      <c r="O52" s="48"/>
      <c r="P52" s="1164"/>
      <c r="Q52" s="1161"/>
      <c r="R52" s="1164"/>
      <c r="S52" s="50"/>
      <c r="T52" s="50"/>
      <c r="U52" s="51"/>
      <c r="V52" s="1163"/>
      <c r="W52" s="47"/>
      <c r="X52" s="51"/>
      <c r="Y52" s="50"/>
      <c r="Z52" s="52"/>
      <c r="AA52" s="51"/>
      <c r="AB52" s="1163"/>
      <c r="AC52" s="47"/>
      <c r="AD52" s="54"/>
      <c r="AE52" s="54"/>
      <c r="AF52" s="55"/>
      <c r="AG52" s="51"/>
      <c r="AI52" s="3237"/>
      <c r="AJ52" s="29"/>
      <c r="AK52" s="1"/>
      <c r="AL52" s="1"/>
    </row>
    <row r="53" spans="1:40" ht="18" customHeight="1">
      <c r="A53" s="13" t="s">
        <v>45</v>
      </c>
      <c r="B53" s="14"/>
      <c r="C53" s="15"/>
      <c r="D53" s="1161"/>
      <c r="E53" s="47"/>
      <c r="F53" s="48"/>
      <c r="G53" s="47"/>
      <c r="H53" s="1162"/>
      <c r="I53" s="47"/>
      <c r="J53" s="48"/>
      <c r="K53" s="47"/>
      <c r="L53" s="1162"/>
      <c r="M53" s="48"/>
      <c r="N53" s="48"/>
      <c r="O53" s="48"/>
      <c r="P53" s="1162"/>
      <c r="Q53" s="1161"/>
      <c r="R53" s="1162"/>
      <c r="S53" s="50"/>
      <c r="T53" s="50"/>
      <c r="U53" s="51"/>
      <c r="V53" s="1161"/>
      <c r="W53" s="47"/>
      <c r="X53" s="47"/>
      <c r="Y53" s="50"/>
      <c r="Z53" s="52"/>
      <c r="AA53" s="51"/>
      <c r="AB53" s="1161"/>
      <c r="AC53" s="47"/>
      <c r="AD53" s="54"/>
      <c r="AE53" s="54"/>
      <c r="AF53" s="55"/>
      <c r="AG53" s="47"/>
      <c r="AI53" s="3238"/>
      <c r="AJ53" s="29"/>
      <c r="AK53" s="1"/>
      <c r="AL53" s="1"/>
    </row>
    <row r="54" spans="1:40" ht="18" customHeight="1">
      <c r="A54" s="13" t="s">
        <v>53</v>
      </c>
      <c r="B54" s="13"/>
      <c r="C54" s="98"/>
      <c r="D54" s="1171"/>
      <c r="E54" s="47"/>
      <c r="F54" s="48"/>
      <c r="G54" s="47"/>
      <c r="H54" s="1162"/>
      <c r="I54" s="47"/>
      <c r="J54" s="48"/>
      <c r="K54" s="47"/>
      <c r="L54" s="1162"/>
      <c r="M54" s="48"/>
      <c r="N54" s="48"/>
      <c r="O54" s="48"/>
      <c r="P54" s="1162"/>
      <c r="Q54" s="1161"/>
      <c r="R54" s="1162"/>
      <c r="S54" s="50"/>
      <c r="T54" s="50"/>
      <c r="U54" s="51"/>
      <c r="V54" s="1161" t="s">
        <v>16</v>
      </c>
      <c r="W54" s="47"/>
      <c r="X54" s="47"/>
      <c r="Y54" s="50"/>
      <c r="Z54" s="52"/>
      <c r="AA54" s="51"/>
      <c r="AB54" s="1161"/>
      <c r="AC54" s="47"/>
      <c r="AD54" s="54"/>
      <c r="AE54" s="54"/>
      <c r="AF54" s="55"/>
      <c r="AG54" s="47"/>
      <c r="AI54" s="3237"/>
      <c r="AJ54" s="29"/>
      <c r="AK54" s="1"/>
      <c r="AL54" s="1"/>
    </row>
    <row r="55" spans="1:40" ht="18" customHeight="1">
      <c r="A55" s="13" t="s">
        <v>54</v>
      </c>
      <c r="B55" s="13"/>
      <c r="C55" s="98"/>
      <c r="D55" s="113">
        <f>ROUND(SUM(D45+D51),1)</f>
        <v>-338.3</v>
      </c>
      <c r="E55" s="113"/>
      <c r="F55" s="114">
        <f>ROUND(SUM(F45)+SUM(F51),1)</f>
        <v>5479.3</v>
      </c>
      <c r="G55" s="113"/>
      <c r="H55" s="114">
        <f>ROUND(SUM(H45+H51),1)</f>
        <v>-187.1</v>
      </c>
      <c r="I55" s="113"/>
      <c r="J55" s="114">
        <f>ROUND(SUM(J45)+SUM(J51),1)</f>
        <v>-401</v>
      </c>
      <c r="K55" s="113"/>
      <c r="L55" s="114">
        <f>ROUND(SUM(L45+L51),1)</f>
        <v>547</v>
      </c>
      <c r="M55" s="114"/>
      <c r="N55" s="114">
        <f>ROUND(SUM(N45+N51),1)</f>
        <v>618.70000000000005</v>
      </c>
      <c r="O55" s="114"/>
      <c r="P55" s="114">
        <f>ROUND(SUM(P45+P51),1)</f>
        <v>-110.8</v>
      </c>
      <c r="Q55" s="113"/>
      <c r="R55" s="114">
        <f>ROUND(SUM(R45+R51),1)</f>
        <v>-606.1</v>
      </c>
      <c r="S55" s="115"/>
      <c r="T55" s="115"/>
      <c r="U55" s="71"/>
      <c r="V55" s="113">
        <f>ROUND(SUM(V45)+SUM(V51),1)</f>
        <v>-89.2</v>
      </c>
      <c r="W55" s="113"/>
      <c r="X55" s="113">
        <f>ROUND(SUM(X45)+SUM(X51),1)</f>
        <v>5090.8999999999996</v>
      </c>
      <c r="Y55" s="115"/>
      <c r="Z55" s="116"/>
      <c r="AA55" s="71"/>
      <c r="AB55" s="113">
        <f>ROUND(SUM(AB45)+SUM(AB51),1)</f>
        <v>83.1</v>
      </c>
      <c r="AC55" s="113"/>
      <c r="AD55" s="113">
        <f>ROUND(SUM(AD45)+SUM(AD51),1)</f>
        <v>4019.7</v>
      </c>
      <c r="AE55" s="71"/>
      <c r="AF55" s="72"/>
      <c r="AG55" s="69">
        <f>ROUND(SUM(+AG45+AG51),1)</f>
        <v>1071.2</v>
      </c>
      <c r="AH55" s="73"/>
      <c r="AI55" s="3239">
        <f>ROUND(SUM((+X55-AD55)/AD55),3)</f>
        <v>0.26600000000000001</v>
      </c>
      <c r="AJ55" s="118"/>
      <c r="AK55" s="119"/>
      <c r="AL55" s="1"/>
    </row>
    <row r="56" spans="1:40" ht="15.95" customHeight="1">
      <c r="A56" s="14"/>
      <c r="B56" s="14"/>
      <c r="C56" s="15"/>
      <c r="D56" s="1161"/>
      <c r="E56" s="47"/>
      <c r="F56" s="76"/>
      <c r="G56" s="47"/>
      <c r="H56" s="1162"/>
      <c r="I56" s="47"/>
      <c r="J56" s="48"/>
      <c r="K56" s="47"/>
      <c r="L56" s="1172"/>
      <c r="M56" s="104"/>
      <c r="N56" s="104"/>
      <c r="O56" s="104"/>
      <c r="P56" s="3227"/>
      <c r="Q56" s="1161"/>
      <c r="R56" s="1172"/>
      <c r="S56" s="50"/>
      <c r="T56" s="50"/>
      <c r="U56" s="51"/>
      <c r="V56" s="1161"/>
      <c r="W56" s="47"/>
      <c r="X56" s="47"/>
      <c r="Y56" s="105"/>
      <c r="Z56" s="106"/>
      <c r="AA56" s="54"/>
      <c r="AB56" s="1171"/>
      <c r="AC56" s="53"/>
      <c r="AD56" s="54"/>
      <c r="AE56" s="54"/>
      <c r="AF56" s="55"/>
      <c r="AG56" s="47"/>
      <c r="AI56" s="19"/>
      <c r="AJ56" s="29"/>
      <c r="AK56" s="1"/>
      <c r="AL56" s="1"/>
    </row>
    <row r="57" spans="1:40" ht="18" customHeight="1">
      <c r="A57" s="1869" t="s">
        <v>55</v>
      </c>
      <c r="B57" s="36" t="s">
        <v>1302</v>
      </c>
      <c r="C57" s="15"/>
      <c r="D57" s="92">
        <v>8052.8</v>
      </c>
      <c r="E57" s="65"/>
      <c r="F57" s="93">
        <f>+'Exh F'!AC14</f>
        <v>2235.1999999999998</v>
      </c>
      <c r="G57" s="65"/>
      <c r="H57" s="93">
        <f>+'Exhibit G'!P14</f>
        <v>2149</v>
      </c>
      <c r="I57" s="65"/>
      <c r="J57" s="93">
        <f>+'Exhibit G'!AC14</f>
        <v>2362.9</v>
      </c>
      <c r="K57" s="65"/>
      <c r="L57" s="93">
        <f>'Exhibit H'!N12</f>
        <v>136.80000000000001</v>
      </c>
      <c r="M57" s="3027"/>
      <c r="N57" s="93">
        <f>+'Exhibit H'!AA12</f>
        <v>65.099999999999994</v>
      </c>
      <c r="O57" s="3026"/>
      <c r="P57" s="94">
        <v>-1124</v>
      </c>
      <c r="Q57" s="69"/>
      <c r="R57" s="93">
        <f>+' Exhbit I '!AD15</f>
        <v>-628.70000000000005</v>
      </c>
      <c r="S57" s="68"/>
      <c r="T57" s="68"/>
      <c r="U57" s="69"/>
      <c r="V57" s="92">
        <f>ROUND(SUM(D57+H57+L57+P57),1)</f>
        <v>9214.6</v>
      </c>
      <c r="W57" s="65" t="s">
        <v>16</v>
      </c>
      <c r="X57" s="92">
        <f>ROUND(SUM(F57+J57+N57+R57),1)</f>
        <v>4034.5</v>
      </c>
      <c r="Y57" s="68"/>
      <c r="Z57" s="70"/>
      <c r="AA57" s="69"/>
      <c r="AB57" s="92">
        <v>7813</v>
      </c>
      <c r="AC57" s="65"/>
      <c r="AD57" s="95">
        <v>3876.4</v>
      </c>
      <c r="AE57" s="71"/>
      <c r="AF57" s="72"/>
      <c r="AG57" s="92">
        <f>ROUND(SUM(X57-AD57),1)</f>
        <v>158.1</v>
      </c>
      <c r="AH57" s="73"/>
      <c r="AI57" s="97">
        <f>ROUND(SUM((+X57-AD57)/AD57),3)</f>
        <v>4.1000000000000002E-2</v>
      </c>
      <c r="AJ57" s="18"/>
      <c r="AK57" s="1"/>
      <c r="AL57" s="1"/>
    </row>
    <row r="58" spans="1:40" ht="15.95" customHeight="1">
      <c r="A58" s="98"/>
      <c r="B58" s="15"/>
      <c r="C58" s="15"/>
      <c r="D58" s="1170"/>
      <c r="E58" s="47"/>
      <c r="F58" s="76"/>
      <c r="G58" s="47"/>
      <c r="H58" s="1163"/>
      <c r="I58" s="47"/>
      <c r="J58" s="76"/>
      <c r="K58" s="47"/>
      <c r="L58" s="1170"/>
      <c r="M58" s="47"/>
      <c r="N58" s="76"/>
      <c r="O58" s="47"/>
      <c r="P58" s="1163"/>
      <c r="Q58" s="1161"/>
      <c r="R58" s="1164"/>
      <c r="S58" s="50"/>
      <c r="T58" s="50"/>
      <c r="U58" s="51"/>
      <c r="V58" s="1163"/>
      <c r="W58" s="47"/>
      <c r="X58" s="51"/>
      <c r="Y58" s="50"/>
      <c r="Z58" s="52"/>
      <c r="AA58" s="51"/>
      <c r="AB58" s="1163"/>
      <c r="AC58" s="47"/>
      <c r="AD58" s="54"/>
      <c r="AE58" s="54"/>
      <c r="AF58" s="55"/>
      <c r="AG58" s="51"/>
      <c r="AI58" s="19"/>
      <c r="AJ58" s="29"/>
      <c r="AK58" s="1"/>
      <c r="AL58" s="1"/>
    </row>
    <row r="59" spans="1:40" ht="18" customHeight="1" thickBot="1">
      <c r="A59" s="1870" t="s">
        <v>56</v>
      </c>
      <c r="B59" s="120"/>
      <c r="C59" s="121"/>
      <c r="D59" s="122">
        <f>ROUND(SUM(D55+D57),1)</f>
        <v>7714.5</v>
      </c>
      <c r="E59" s="123"/>
      <c r="F59" s="124">
        <f>ROUND(SUM(F55+F57),1)</f>
        <v>7714.5</v>
      </c>
      <c r="G59" s="123"/>
      <c r="H59" s="122">
        <f>ROUND(SUM(H55+H57),1)</f>
        <v>1961.9</v>
      </c>
      <c r="I59" s="123"/>
      <c r="J59" s="124">
        <f>ROUND(SUM(J55)+SUM(J57),1)</f>
        <v>1961.9</v>
      </c>
      <c r="K59" s="123"/>
      <c r="L59" s="122">
        <f>ROUND(SUM(L55+L57),1)</f>
        <v>683.8</v>
      </c>
      <c r="M59" s="123"/>
      <c r="N59" s="124">
        <f>ROUND(SUM(N55+N57),1)</f>
        <v>683.8</v>
      </c>
      <c r="O59" s="123"/>
      <c r="P59" s="122">
        <f>ROUND(SUM(P55+P57),1)</f>
        <v>-1234.8</v>
      </c>
      <c r="Q59" s="123"/>
      <c r="R59" s="124">
        <f>ROUND(SUM(R55+R57),1)</f>
        <v>-1234.8</v>
      </c>
      <c r="S59" s="125"/>
      <c r="T59" s="125"/>
      <c r="U59" s="126"/>
      <c r="V59" s="122">
        <f>ROUND(SUM(V55+V57),1)</f>
        <v>9125.4</v>
      </c>
      <c r="W59" s="123"/>
      <c r="X59" s="122">
        <f>ROUND(SUM(X55+X57),1)</f>
        <v>9125.4</v>
      </c>
      <c r="Y59" s="125"/>
      <c r="Z59" s="127"/>
      <c r="AA59" s="126"/>
      <c r="AB59" s="122">
        <f>ROUND(SUM(AB55+AB57),1)</f>
        <v>7896.1</v>
      </c>
      <c r="AC59" s="123"/>
      <c r="AD59" s="122">
        <f>ROUND(SUM(AD55+AD57),1)</f>
        <v>7896.1</v>
      </c>
      <c r="AE59" s="126"/>
      <c r="AF59" s="128"/>
      <c r="AG59" s="129">
        <f>ROUND(SUM(AG55+AG57),1)</f>
        <v>1229.3</v>
      </c>
      <c r="AH59" s="73"/>
      <c r="AI59" s="130">
        <f>ROUND(SUM((+X59-AD59)/AD59),3)</f>
        <v>0.156</v>
      </c>
      <c r="AJ59" s="131"/>
      <c r="AK59" s="119"/>
      <c r="AL59" s="119"/>
      <c r="AM59" s="132"/>
      <c r="AN59" s="73"/>
    </row>
    <row r="60" spans="1:40" ht="15.75" thickTop="1">
      <c r="A60" s="133"/>
      <c r="B60" s="133"/>
      <c r="C60" s="133"/>
      <c r="D60" s="1221"/>
      <c r="E60" s="134"/>
      <c r="F60" s="134"/>
      <c r="G60" s="134"/>
      <c r="H60" s="1221"/>
      <c r="I60" s="134"/>
      <c r="J60" s="134"/>
      <c r="K60" s="134"/>
      <c r="L60" s="1221"/>
      <c r="M60" s="134"/>
      <c r="N60" s="134"/>
      <c r="O60" s="134"/>
      <c r="P60" s="134"/>
      <c r="Q60" s="134"/>
      <c r="R60" s="134"/>
      <c r="S60" s="134"/>
      <c r="T60" s="134"/>
      <c r="U60" s="134"/>
      <c r="V60" s="1221"/>
      <c r="W60" s="134"/>
      <c r="X60" s="134"/>
      <c r="Y60" s="134"/>
      <c r="Z60" s="134"/>
      <c r="AA60" s="134"/>
      <c r="AB60" s="1221"/>
      <c r="AC60" s="135"/>
      <c r="AD60" s="136"/>
      <c r="AE60" s="136"/>
      <c r="AF60" s="134"/>
      <c r="AG60" s="134"/>
      <c r="AI60" s="137"/>
      <c r="AJ60" s="19"/>
      <c r="AK60" s="1"/>
      <c r="AL60" s="1"/>
    </row>
    <row r="61" spans="1:40" ht="15.75">
      <c r="A61" s="138"/>
      <c r="B61" s="96"/>
      <c r="C61" s="96"/>
      <c r="D61" s="1222"/>
      <c r="E61" s="101"/>
      <c r="F61" s="101"/>
      <c r="G61" s="101"/>
      <c r="H61" s="1222"/>
      <c r="I61" s="101"/>
      <c r="J61" s="101"/>
      <c r="K61" s="101"/>
      <c r="L61" s="1222"/>
      <c r="M61" s="101"/>
      <c r="N61" s="101"/>
      <c r="O61" s="101"/>
      <c r="P61" s="138" t="s">
        <v>16</v>
      </c>
      <c r="Q61" s="101"/>
      <c r="R61" s="101"/>
      <c r="S61" s="101"/>
      <c r="T61" s="101"/>
      <c r="U61" s="101"/>
      <c r="V61" s="1222"/>
      <c r="W61" s="101"/>
      <c r="X61" s="101"/>
      <c r="Y61" s="101"/>
      <c r="Z61" s="101"/>
      <c r="AA61" s="101"/>
      <c r="AB61" s="1222"/>
      <c r="AC61" s="101"/>
      <c r="AI61" s="137"/>
      <c r="AJ61" s="19"/>
      <c r="AK61" s="1"/>
      <c r="AL61" s="1"/>
    </row>
    <row r="62" spans="1:40" ht="15">
      <c r="A62" s="101"/>
      <c r="B62" s="101"/>
      <c r="C62" s="101"/>
      <c r="D62" s="1222"/>
      <c r="E62" s="101"/>
      <c r="F62" s="101"/>
      <c r="G62" s="101"/>
      <c r="H62" s="1222"/>
      <c r="I62" s="101"/>
      <c r="J62" s="101"/>
      <c r="K62" s="101"/>
      <c r="L62" s="1222"/>
      <c r="M62" s="101"/>
      <c r="N62" s="101"/>
      <c r="O62" s="101"/>
      <c r="P62" s="101" t="s">
        <v>16</v>
      </c>
      <c r="Q62" s="101"/>
      <c r="R62" s="101"/>
      <c r="S62" s="101"/>
      <c r="T62" s="101"/>
      <c r="U62" s="101"/>
      <c r="V62" s="1222"/>
      <c r="W62" s="101"/>
      <c r="X62" s="101"/>
      <c r="Y62" s="101"/>
      <c r="Z62" s="101"/>
      <c r="AA62" s="101"/>
      <c r="AB62" s="1222"/>
      <c r="AC62" s="101"/>
      <c r="AI62" s="137"/>
      <c r="AJ62" s="19"/>
      <c r="AK62" s="1"/>
      <c r="AL62" s="1"/>
    </row>
    <row r="63" spans="1:40" ht="15">
      <c r="A63" s="101"/>
      <c r="B63" s="101"/>
      <c r="C63" s="101"/>
      <c r="D63" s="1222"/>
      <c r="E63" s="101"/>
      <c r="F63" s="101"/>
      <c r="G63" s="101"/>
      <c r="H63" s="1222"/>
      <c r="I63" s="101"/>
      <c r="J63" s="101"/>
      <c r="K63" s="101"/>
      <c r="L63" s="1222"/>
      <c r="M63" s="101"/>
      <c r="N63" s="101"/>
      <c r="O63" s="101"/>
      <c r="P63" s="101" t="s">
        <v>16</v>
      </c>
      <c r="Q63" s="101"/>
      <c r="R63" s="101"/>
      <c r="S63" s="101"/>
      <c r="T63" s="101"/>
      <c r="U63" s="101"/>
      <c r="V63" s="1222"/>
      <c r="W63" s="101"/>
      <c r="X63" s="101"/>
      <c r="Y63" s="101"/>
      <c r="Z63" s="101"/>
      <c r="AA63" s="101"/>
      <c r="AB63" s="1222"/>
      <c r="AC63" s="101"/>
      <c r="AI63" s="140"/>
      <c r="AJ63" s="19"/>
      <c r="AK63" s="1"/>
      <c r="AL63" s="1"/>
    </row>
    <row r="64" spans="1:40" ht="15.75">
      <c r="A64" s="141"/>
      <c r="B64" s="101"/>
      <c r="C64" s="101"/>
      <c r="D64" s="1222"/>
      <c r="E64" s="101"/>
      <c r="F64" s="101"/>
      <c r="G64" s="101"/>
      <c r="H64" s="1222"/>
      <c r="I64" s="101"/>
      <c r="J64" s="101"/>
      <c r="K64" s="101"/>
      <c r="L64" s="1222"/>
      <c r="M64" s="101"/>
      <c r="N64" s="101"/>
      <c r="O64" s="101"/>
      <c r="P64" s="101"/>
      <c r="Q64" s="101"/>
      <c r="R64" s="101"/>
      <c r="S64" s="101"/>
      <c r="T64" s="101"/>
      <c r="U64" s="101"/>
      <c r="V64" s="1222"/>
      <c r="W64" s="101"/>
      <c r="X64" s="101"/>
      <c r="Y64" s="101"/>
      <c r="Z64" s="101"/>
      <c r="AA64" s="101"/>
      <c r="AB64" s="1222"/>
      <c r="AC64" s="101"/>
      <c r="AI64" s="140"/>
      <c r="AJ64" s="1"/>
      <c r="AK64" s="1"/>
      <c r="AL64" s="1"/>
    </row>
    <row r="65" spans="1:38" ht="15.75">
      <c r="A65" s="141"/>
      <c r="B65" s="101"/>
      <c r="C65" s="101"/>
      <c r="D65" s="1222"/>
      <c r="E65" s="101"/>
      <c r="F65" s="101"/>
      <c r="G65" s="101"/>
      <c r="H65" s="1222"/>
      <c r="I65" s="101"/>
      <c r="J65" s="101"/>
      <c r="K65" s="101"/>
      <c r="L65" s="1222"/>
      <c r="M65" s="101"/>
      <c r="N65" s="101"/>
      <c r="O65" s="101"/>
      <c r="P65" s="101"/>
      <c r="Q65" s="101"/>
      <c r="R65" s="101"/>
      <c r="S65" s="101"/>
      <c r="T65" s="101"/>
      <c r="U65" s="101"/>
      <c r="V65" s="1222"/>
      <c r="W65" s="101"/>
      <c r="X65" s="101"/>
      <c r="Y65" s="101"/>
      <c r="Z65" s="101"/>
      <c r="AA65" s="101"/>
      <c r="AB65" s="1222"/>
      <c r="AC65" s="101"/>
      <c r="AI65" s="140"/>
      <c r="AJ65" s="1" t="s">
        <v>16</v>
      </c>
      <c r="AK65" s="1"/>
      <c r="AL65" s="1"/>
    </row>
    <row r="66" spans="1:38" ht="15.75">
      <c r="A66" s="142"/>
      <c r="B66" s="143"/>
      <c r="C66" s="138"/>
      <c r="D66" s="1225"/>
      <c r="E66" s="35"/>
      <c r="F66" s="35"/>
      <c r="G66" s="35"/>
      <c r="H66" s="1225"/>
      <c r="I66" s="35"/>
      <c r="J66" s="35"/>
      <c r="K66" s="35"/>
      <c r="L66" s="1225"/>
      <c r="M66" s="101"/>
      <c r="N66" s="101"/>
      <c r="O66" s="101"/>
      <c r="P66" s="101"/>
      <c r="Q66" s="101"/>
      <c r="R66" s="101"/>
      <c r="S66" s="101"/>
      <c r="T66" s="101"/>
      <c r="U66" s="101"/>
      <c r="V66" s="1222"/>
      <c r="W66" s="101"/>
      <c r="X66" s="101"/>
      <c r="Y66" s="101"/>
      <c r="Z66" s="101"/>
      <c r="AA66" s="101"/>
      <c r="AB66" s="1222"/>
      <c r="AC66" s="101"/>
      <c r="AI66" s="140"/>
      <c r="AJ66" s="1"/>
      <c r="AK66" s="1"/>
      <c r="AL66" s="1"/>
    </row>
    <row r="67" spans="1:38" ht="15">
      <c r="A67" s="19"/>
      <c r="B67" s="19"/>
      <c r="C67" s="19"/>
      <c r="D67" s="1226"/>
      <c r="E67" s="19"/>
      <c r="F67" s="19"/>
      <c r="G67" s="19"/>
      <c r="H67" s="1226"/>
      <c r="I67" s="19"/>
      <c r="J67" s="19"/>
      <c r="K67" s="19"/>
      <c r="L67" s="1226"/>
      <c r="M67" s="101"/>
      <c r="N67" s="101"/>
      <c r="O67" s="101"/>
      <c r="P67" s="101"/>
      <c r="Q67" s="101"/>
      <c r="R67" s="101"/>
      <c r="S67" s="101"/>
      <c r="T67" s="101"/>
      <c r="U67" s="101"/>
      <c r="V67" s="1222"/>
      <c r="W67" s="101"/>
      <c r="X67" s="101"/>
      <c r="Y67" s="101"/>
      <c r="Z67" s="101"/>
      <c r="AA67" s="101"/>
      <c r="AB67" s="1222"/>
      <c r="AC67" s="101"/>
      <c r="AI67" s="140"/>
      <c r="AJ67" s="1"/>
      <c r="AK67" s="1"/>
      <c r="AL67" s="1"/>
    </row>
    <row r="68" spans="1:38" ht="15">
      <c r="A68" s="19"/>
      <c r="B68" s="19"/>
      <c r="C68" s="19"/>
      <c r="D68" s="1226"/>
      <c r="E68" s="19"/>
      <c r="F68" s="19"/>
      <c r="G68" s="19"/>
      <c r="H68" s="1226"/>
      <c r="I68" s="19"/>
      <c r="J68" s="19"/>
      <c r="K68" s="19"/>
      <c r="L68" s="1226"/>
      <c r="M68" s="101"/>
      <c r="N68" s="101"/>
      <c r="O68" s="101"/>
      <c r="P68" s="101"/>
      <c r="Q68" s="101"/>
      <c r="R68" s="101"/>
      <c r="S68" s="101"/>
      <c r="T68" s="101"/>
      <c r="U68" s="101"/>
      <c r="V68" s="1222"/>
      <c r="W68" s="101"/>
      <c r="X68" s="101"/>
      <c r="Y68" s="101"/>
      <c r="Z68" s="101"/>
      <c r="AA68" s="101"/>
      <c r="AB68" s="1222"/>
      <c r="AC68" s="101"/>
      <c r="AI68" s="140"/>
      <c r="AJ68" s="1"/>
      <c r="AK68" s="1"/>
      <c r="AL68" s="1"/>
    </row>
    <row r="69" spans="1:38" ht="15">
      <c r="A69" s="19"/>
      <c r="B69" s="19"/>
      <c r="C69" s="19"/>
      <c r="D69" s="1226"/>
      <c r="E69" s="19"/>
      <c r="F69" s="19"/>
      <c r="G69" s="19"/>
      <c r="H69" s="1226"/>
      <c r="I69" s="19"/>
      <c r="J69" s="19"/>
      <c r="K69" s="19"/>
      <c r="L69" s="1226"/>
      <c r="M69" s="101"/>
      <c r="N69" s="101"/>
      <c r="O69" s="101"/>
      <c r="P69" s="101"/>
      <c r="Q69" s="101"/>
      <c r="R69" s="101"/>
      <c r="S69" s="101"/>
      <c r="T69" s="101"/>
      <c r="U69" s="101"/>
      <c r="V69" s="1222"/>
      <c r="W69" s="101"/>
      <c r="X69" s="101"/>
      <c r="Y69" s="101"/>
      <c r="Z69" s="101"/>
      <c r="AA69" s="101"/>
      <c r="AB69" s="1222"/>
      <c r="AI69" s="140"/>
      <c r="AJ69" s="1"/>
      <c r="AK69" s="1"/>
      <c r="AL69" s="1"/>
    </row>
    <row r="70" spans="1:38" ht="15">
      <c r="AI70" s="140"/>
      <c r="AJ70" s="1"/>
      <c r="AK70" s="1"/>
      <c r="AL70" s="1"/>
    </row>
    <row r="71" spans="1:38" ht="15">
      <c r="AI71" s="140"/>
      <c r="AJ71" s="1"/>
      <c r="AK71" s="1"/>
      <c r="AL71" s="1"/>
    </row>
    <row r="72" spans="1:38" ht="15">
      <c r="AI72" s="140"/>
      <c r="AJ72" s="1"/>
      <c r="AK72" s="1"/>
      <c r="AL72" s="1"/>
    </row>
    <row r="73" spans="1:38" ht="15">
      <c r="AI73" s="140"/>
      <c r="AJ73" s="1"/>
      <c r="AK73" s="1"/>
      <c r="AL73" s="1"/>
    </row>
    <row r="74" spans="1:38" ht="15">
      <c r="AI74" s="140"/>
      <c r="AJ74" s="1"/>
      <c r="AK74" s="1"/>
      <c r="AL74" s="1"/>
    </row>
    <row r="75" spans="1:38" ht="15">
      <c r="AI75" s="140"/>
      <c r="AJ75" s="1"/>
      <c r="AK75" s="1"/>
      <c r="AL75" s="1"/>
    </row>
    <row r="76" spans="1:38" ht="15">
      <c r="AI76" s="140"/>
      <c r="AJ76" s="1"/>
      <c r="AK76" s="1"/>
      <c r="AL76" s="1"/>
    </row>
    <row r="77" spans="1:38" ht="15">
      <c r="AI77" s="140"/>
      <c r="AJ77" s="1"/>
      <c r="AK77" s="1"/>
      <c r="AL77" s="1"/>
    </row>
    <row r="78" spans="1:38" ht="15">
      <c r="AI78" s="140"/>
      <c r="AJ78" s="1"/>
      <c r="AK78" s="1"/>
      <c r="AL78" s="1"/>
    </row>
    <row r="79" spans="1:38" ht="15">
      <c r="AI79" s="140"/>
      <c r="AJ79" s="1"/>
      <c r="AK79" s="1"/>
      <c r="AL79" s="1"/>
    </row>
    <row r="80" spans="1:38" ht="15">
      <c r="AI80" s="140"/>
      <c r="AJ80" s="1"/>
      <c r="AK80" s="1"/>
      <c r="AL80" s="1"/>
    </row>
    <row r="81" spans="35:38" ht="15">
      <c r="AI81" s="140"/>
      <c r="AJ81" s="1"/>
      <c r="AK81" s="1"/>
      <c r="AL81" s="1"/>
    </row>
    <row r="82" spans="35:38" ht="15">
      <c r="AI82" s="140"/>
      <c r="AJ82" s="1"/>
      <c r="AK82" s="1"/>
      <c r="AL82" s="1"/>
    </row>
    <row r="83" spans="35:38" ht="15">
      <c r="AI83" s="140"/>
      <c r="AJ83" s="1"/>
      <c r="AK83" s="1"/>
      <c r="AL83" s="1"/>
    </row>
    <row r="84" spans="35:38" ht="15">
      <c r="AI84" s="140"/>
      <c r="AJ84" s="1"/>
      <c r="AK84" s="1"/>
      <c r="AL84" s="1"/>
    </row>
    <row r="85" spans="35:38" ht="15">
      <c r="AI85" s="140"/>
      <c r="AJ85" s="1"/>
      <c r="AK85" s="1"/>
      <c r="AL85" s="1"/>
    </row>
    <row r="86" spans="35:38" ht="15">
      <c r="AI86" s="140"/>
      <c r="AJ86" s="1"/>
      <c r="AK86" s="1"/>
      <c r="AL86" s="1"/>
    </row>
    <row r="87" spans="35:38" ht="15">
      <c r="AI87" s="140"/>
      <c r="AJ87" s="1"/>
      <c r="AK87" s="1"/>
      <c r="AL87" s="1"/>
    </row>
    <row r="88" spans="35:38" ht="15">
      <c r="AI88" s="140"/>
      <c r="AJ88" s="1"/>
      <c r="AK88" s="1"/>
      <c r="AL88" s="1"/>
    </row>
    <row r="89" spans="35:38" ht="15">
      <c r="AI89" s="140"/>
      <c r="AJ89" s="1"/>
      <c r="AK89" s="1"/>
      <c r="AL89" s="1"/>
    </row>
    <row r="90" spans="35:38" ht="15">
      <c r="AI90" s="140"/>
      <c r="AJ90" s="1"/>
      <c r="AK90" s="1"/>
      <c r="AL90" s="1"/>
    </row>
    <row r="91" spans="35:38" ht="15">
      <c r="AI91" s="140"/>
      <c r="AJ91" s="1"/>
      <c r="AK91" s="1"/>
      <c r="AL91" s="1"/>
    </row>
    <row r="92" spans="35:38" ht="15">
      <c r="AI92" s="140"/>
      <c r="AJ92" s="1"/>
      <c r="AK92" s="1"/>
      <c r="AL92" s="1"/>
    </row>
    <row r="93" spans="35:38" ht="15">
      <c r="AI93" s="140"/>
      <c r="AJ93" s="1"/>
      <c r="AK93" s="1"/>
      <c r="AL93" s="1"/>
    </row>
    <row r="94" spans="35:38" ht="15">
      <c r="AI94" s="140"/>
      <c r="AJ94" s="1"/>
      <c r="AK94" s="1"/>
      <c r="AL94" s="1"/>
    </row>
    <row r="95" spans="35:38" ht="15">
      <c r="AI95" s="140"/>
      <c r="AJ95" s="1"/>
      <c r="AK95" s="1"/>
      <c r="AL95" s="1"/>
    </row>
    <row r="96" spans="35:38" ht="15">
      <c r="AI96" s="140"/>
      <c r="AJ96" s="1"/>
      <c r="AK96" s="1"/>
      <c r="AL96" s="1"/>
    </row>
    <row r="97" spans="35:38" ht="15">
      <c r="AI97" s="140"/>
      <c r="AJ97" s="1"/>
      <c r="AK97" s="1"/>
      <c r="AL97" s="1"/>
    </row>
    <row r="98" spans="35:38" ht="15">
      <c r="AI98" s="140"/>
      <c r="AJ98" s="1"/>
      <c r="AK98" s="1"/>
      <c r="AL98" s="1"/>
    </row>
    <row r="99" spans="35:38" ht="15">
      <c r="AI99" s="140"/>
      <c r="AJ99" s="1"/>
      <c r="AK99" s="1"/>
      <c r="AL99" s="1"/>
    </row>
    <row r="100" spans="35:38" ht="15">
      <c r="AI100" s="140"/>
      <c r="AJ100" s="1"/>
      <c r="AK100" s="1"/>
      <c r="AL100" s="1"/>
    </row>
    <row r="101" spans="35:38" ht="15">
      <c r="AI101" s="140"/>
      <c r="AJ101" s="1"/>
      <c r="AK101" s="1"/>
      <c r="AL101" s="1"/>
    </row>
    <row r="102" spans="35:38" ht="15">
      <c r="AI102" s="140"/>
      <c r="AJ102" s="1"/>
      <c r="AK102" s="1"/>
      <c r="AL102" s="1"/>
    </row>
    <row r="103" spans="35:38" ht="15">
      <c r="AI103" s="140"/>
      <c r="AJ103" s="1"/>
      <c r="AK103" s="1"/>
      <c r="AL103" s="1"/>
    </row>
    <row r="104" spans="35:38" ht="15">
      <c r="AI104" s="140"/>
      <c r="AJ104" s="1"/>
      <c r="AK104" s="1"/>
      <c r="AL104" s="1"/>
    </row>
    <row r="105" spans="35:38" ht="15">
      <c r="AI105" s="140"/>
      <c r="AJ105" s="1"/>
      <c r="AK105" s="1"/>
      <c r="AL105" s="1"/>
    </row>
    <row r="106" spans="35:38" ht="15">
      <c r="AI106" s="140"/>
      <c r="AJ106" s="1"/>
      <c r="AK106" s="1"/>
      <c r="AL106" s="1"/>
    </row>
  </sheetData>
  <customSheetViews>
    <customSheetView guid="{BD09DBC2-63A5-4D9C-9B00-4281066E9389}" scale="70" showPageBreaks="1" showGridLines="0" outlineSymbols="0" fitToPage="1" printArea="1">
      <selection activeCell="X18" sqref="X18"/>
      <pageMargins left="0.55000000000000004" right="0.45" top="1" bottom="0.5" header="0" footer="0.25"/>
      <pageSetup scale="41" firstPageNumber="2" orientation="landscape" useFirstPageNumber="1" r:id="rId1"/>
      <headerFooter scaleWithDoc="0" alignWithMargins="0">
        <oddFooter>&amp;C&amp;8&amp;P</oddFooter>
      </headerFooter>
    </customSheetView>
    <customSheetView guid="{C82E0A7D-2B5B-48FC-A705-3168E651E04C}" scale="60" showPageBreaks="1" showGridLines="0" outlineSymbols="0" fitToPage="1" printArea="1">
      <selection activeCell="L15" sqref="L15"/>
      <pageMargins left="0.55000000000000004" right="0.45" top="1" bottom="0.5" header="0" footer="0.25"/>
      <pageSetup scale="41" orientation="landscape" r:id="rId2"/>
      <headerFooter scaleWithDoc="0" alignWithMargins="0">
        <oddFooter>&amp;C&amp;8 2</oddFooter>
      </headerFooter>
    </customSheetView>
    <customSheetView guid="{A8B05C3B-0E7E-44A3-A097-AF4C5C09F04E}" scale="60" showPageBreaks="1" showGridLines="0" outlineSymbols="0" fitToPage="1" printArea="1">
      <selection activeCell="AD14" sqref="AD14"/>
      <pageMargins left="0.55000000000000004" right="0.45" top="1" bottom="0.5" header="0" footer="0.25"/>
      <pageSetup scale="41" orientation="landscape" r:id="rId3"/>
      <headerFooter scaleWithDoc="0" alignWithMargins="0">
        <oddFooter>&amp;C&amp;8 2</oddFooter>
      </headerFooter>
    </customSheetView>
    <customSheetView guid="{8EE6466D-211E-4E05-9F84-CC0A1C6F79F4}" scale="60" showGridLines="0" outlineSymbols="0" fitToPage="1" topLeftCell="A23">
      <selection activeCell="AE66" sqref="AE66"/>
      <pageMargins left="0.55000000000000004" right="0.45" top="1" bottom="0.5" header="0" footer="0.25"/>
      <pageSetup scale="41" orientation="landscape" r:id="rId4"/>
      <headerFooter scaleWithDoc="0" alignWithMargins="0">
        <oddFooter>&amp;C&amp;8 2</oddFooter>
      </headerFooter>
    </customSheetView>
    <customSheetView guid="{4735AAE3-27B4-4549-AAB4-50ACA997F5F5}" scale="60" showPageBreaks="1" showGridLines="0" outlineSymbols="0" fitToPage="1" printArea="1" topLeftCell="B10">
      <selection activeCell="D59" sqref="D59"/>
      <pageMargins left="0.55000000000000004" right="0.45" top="1" bottom="0.5" header="0" footer="0.25"/>
      <pageSetup scale="41" orientation="landscape" r:id="rId5"/>
      <headerFooter scaleWithDoc="0" alignWithMargins="0">
        <oddFooter>&amp;C&amp;8 2</oddFooter>
      </headerFooter>
    </customSheetView>
    <customSheetView guid="{80622567-647A-4891-B8EE-6B9E2C4DAC44}" scale="60" showPageBreaks="1" showGridLines="0" outlineSymbols="0" fitToPage="1" printArea="1" topLeftCell="E22">
      <selection activeCell="J50" sqref="J50"/>
      <pageMargins left="0.55000000000000004" right="0.45" top="1" bottom="0.5" header="0" footer="0.25"/>
      <pageSetup scale="41" orientation="landscape" r:id="rId6"/>
      <headerFooter scaleWithDoc="0" alignWithMargins="0">
        <oddFooter>&amp;C&amp;8 2</oddFooter>
      </headerFooter>
    </customSheetView>
    <customSheetView guid="{A97EE6C3-4DA8-41BD-BE43-F596EFCB43CA}" scale="60" showPageBreaks="1" showGridLines="0" outlineSymbols="0" fitToPage="1" printArea="1">
      <selection activeCell="AB50" sqref="AB50"/>
      <pageMargins left="0.55000000000000004" right="0.45" top="1" bottom="0.5" header="0" footer="0.25"/>
      <pageSetup scale="41" orientation="landscape" r:id="rId7"/>
      <headerFooter scaleWithDoc="0" alignWithMargins="0">
        <oddFooter>&amp;C&amp;8 2</oddFooter>
      </headerFooter>
    </customSheetView>
    <customSheetView guid="{90B76C5A-2FC4-40F0-8436-3E4F075A4887}" scale="70" showPageBreaks="1" showGridLines="0" outlineSymbols="0" fitToPage="1" printArea="1" topLeftCell="A10">
      <selection activeCell="L32" sqref="L32"/>
      <pageMargins left="0.55000000000000004" right="0.45" top="1" bottom="0.5" header="0" footer="0.25"/>
      <pageSetup scale="41" orientation="landscape" r:id="rId8"/>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9"/>
  <headerFooter scaleWithDoc="0" alignWithMargins="0">
    <oddFooter>&amp;C&amp;8&amp;P</oddFooter>
  </headerFooter>
  <ignoredErrors>
    <ignoredError sqref="X11 AD11 L12 H12 E12 I12:K12 M12:X12 AG20:AI20 S59:AI59 S55:AH55 S51:AH51 S45:AI45 S42:AI42 S34:AI34 S20:AF20 S56:AI56 S52:AI54 S46:AI47 S43:AI44 S21:AI23 S35:AI35 AI14 G12 AE14:AG14 AC14 AC15 AC16 AC17 AC18:AD18 AC19:AI19 AC24:AI24 AC25:AI25 AC26:AI26 AC28:AI28 AC29:AI29 AC30:AI30 AC31:AI31 AC32:AI32 S39:AA39 AC36:AI36 AC37:AI37 AC38:AI38 AC40:AI40 AC33:AI33 AC41:AI41 AC50:AD50 W14:AA14 S58:AI58 AC57:AI57 AD49:AH49 S14:V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P42 N45 P45 I50:K50 H48:O48 I15 I16 I17 I18:K18 I26:O26 I33:O33 I28:O28 I29:O29 I30:O30 I31:O31 I32:O32 I39:K39 I36:O36 I37:K37 I38:K38 I41:O41 I40:K40 I49:K49 D39:F41 E36:F36 E37:F37 E38:F38 E50:F50 E49 M14 M15 M17 M18:O18 M19:O19 M37:O37 M40:P40 M49:O49 M50:O50 Q17 Q48:R48 Q37:R37 Q38:R38 Q36:R36 Q30:R30 Q28:R28 Q27:R27 Q57:R57 Q50:R50 Q49:R49 Q41:R41 Q33:R33 Q32:R32 Q31:R31 Q29:R29 Q26:R26 Q25:R25 Q24:R24 Q19:R19 Q18:R18 Q16 Q15 M57:O57 Q40:R40 Q14:R14 E57:F57 D58:F58 I57:K57 H58:R58 Q39:R39 R59 R55 R51 R45 R42 R34 P59 N59 P55 N55 P51 N51 L59 J59 L55 J55 L51 J51 G59:H59 F55:H55 G56:G58 D59 F51:H51 D51 G52:G54 D55 Q35:R35 D52:F54 E51 D56:F56 E55 E59 Q21:R23 Q43:R44 Q46:R47 H52:R54 I51 K51 H56:R56 I55 K55 I59 K59 M51 O51 M55 O55 M59 O59 Q20 Q34 Q42 Q45 Q51 Q55 Q59 E30:G30 E32:G33 F59 E29:G29 E31:G31 G50 G18 AE18:AI18 H40 H39 H34 H20 H27 H35 H21:H23 D34 D27 D35 C26 C38 C35 C32 C27 C34 C33 M39:P39 M38:O38 L38 L39 M16:O16 AE50:AH50 K14 K15 K16 K17 AE15:AI15 AE16:AI16 AE17:AI17 O14:P14 O15 O17 J17 R15:R16 AD15:AD17 AI51 AC49 C24 C25 C28 C29 C30 C31 C36 C37 AC27:AI27 AC39:AI39" unlockedFormula="1"/>
    <ignoredError sqref="B23 B41:B57" numberStoredAsText="1"/>
  </ignoredErrors>
</worksheet>
</file>

<file path=xl/worksheets/sheet20.xml><?xml version="1.0" encoding="utf-8"?>
<worksheet xmlns="http://schemas.openxmlformats.org/spreadsheetml/2006/main" xmlns:r="http://schemas.openxmlformats.org/officeDocument/2006/relationships">
  <sheetPr codeName="Sheet18"/>
  <dimension ref="A1:BA169"/>
  <sheetViews>
    <sheetView showGridLines="0" showOutlineSymbols="0" zoomScale="70" zoomScaleNormal="70" workbookViewId="0"/>
  </sheetViews>
  <sheetFormatPr defaultColWidth="8.88671875" defaultRowHeight="12.75"/>
  <cols>
    <col min="1" max="1" width="1.6640625" style="462" customWidth="1"/>
    <col min="2" max="2" width="40.88671875" style="462" customWidth="1"/>
    <col min="3" max="3" width="1.6640625" style="462" customWidth="1"/>
    <col min="4" max="4" width="10.33203125" style="462" customWidth="1"/>
    <col min="5" max="5" width="1.6640625" style="462" customWidth="1"/>
    <col min="6" max="6" width="12" style="462" bestFit="1" customWidth="1"/>
    <col min="7" max="7" width="1.6640625" style="462" customWidth="1"/>
    <col min="8" max="8" width="13.21875" style="462" bestFit="1" customWidth="1"/>
    <col min="9" max="9" width="1.6640625" style="462" customWidth="1"/>
    <col min="10" max="10" width="13.21875" style="462" bestFit="1" customWidth="1"/>
    <col min="11" max="11" width="1.6640625" style="462" customWidth="1"/>
    <col min="12" max="12" width="11" style="462" customWidth="1"/>
    <col min="13" max="13" width="1.6640625" style="462" customWidth="1"/>
    <col min="14" max="14" width="14" style="462" customWidth="1"/>
    <col min="15" max="15" width="1.6640625" style="462" customWidth="1"/>
    <col min="16" max="16" width="10.44140625" style="462" customWidth="1"/>
    <col min="17" max="17" width="1.6640625" style="462" customWidth="1"/>
    <col min="18" max="18" width="11.21875" style="462" customWidth="1"/>
    <col min="19" max="19" width="1.6640625" style="462" customWidth="1"/>
    <col min="20" max="20" width="12.109375" style="462" customWidth="1"/>
    <col min="21" max="21" width="1.6640625" style="462" customWidth="1"/>
    <col min="22" max="22" width="13" style="462" customWidth="1"/>
    <col min="23" max="23" width="1.6640625" style="462" customWidth="1"/>
    <col min="24" max="24" width="11.21875" style="462" customWidth="1"/>
    <col min="25" max="25" width="1.6640625" style="462" customWidth="1"/>
    <col min="26" max="26" width="9.109375" style="462" bestFit="1" customWidth="1"/>
    <col min="27" max="27" width="1.77734375" style="462" customWidth="1"/>
    <col min="28" max="28" width="13.21875" style="462" customWidth="1"/>
    <col min="29" max="30" width="1.6640625" style="462" customWidth="1"/>
    <col min="31" max="31" width="12" style="462" bestFit="1" customWidth="1"/>
    <col min="32" max="33" width="1.44140625" style="462" customWidth="1"/>
    <col min="34" max="34" width="12.6640625" style="462" bestFit="1" customWidth="1"/>
    <col min="35" max="35" width="1.5546875" style="462" customWidth="1"/>
    <col min="36" max="36" width="0.88671875" style="462" customWidth="1"/>
    <col min="37" max="37" width="13" style="462" customWidth="1"/>
    <col min="38" max="38" width="0.6640625" style="462" customWidth="1"/>
    <col min="39" max="39" width="13" style="462" bestFit="1" customWidth="1"/>
    <col min="40" max="16384" width="8.88671875" style="462"/>
  </cols>
  <sheetData>
    <row r="1" spans="1:41" ht="15">
      <c r="B1" s="1227" t="s">
        <v>1322</v>
      </c>
    </row>
    <row r="2" spans="1:41" ht="15.75">
      <c r="A2" s="461"/>
      <c r="M2" s="225"/>
      <c r="N2" s="225"/>
      <c r="O2" s="506"/>
    </row>
    <row r="3" spans="1:41" ht="20.25" customHeight="1">
      <c r="A3" s="461"/>
      <c r="B3" s="466" t="s">
        <v>0</v>
      </c>
      <c r="M3" s="225"/>
      <c r="N3" s="225"/>
      <c r="O3" s="506"/>
      <c r="AG3" s="539"/>
      <c r="AH3" s="539"/>
      <c r="AI3" s="539"/>
      <c r="AJ3" s="539"/>
      <c r="AK3" s="539"/>
      <c r="AL3" s="539"/>
      <c r="AM3" s="756" t="s">
        <v>177</v>
      </c>
    </row>
    <row r="4" spans="1:41" ht="18">
      <c r="A4" s="461"/>
      <c r="B4" s="466" t="s">
        <v>184</v>
      </c>
      <c r="L4" s="225"/>
      <c r="M4" s="225"/>
      <c r="O4" s="506"/>
    </row>
    <row r="5" spans="1:41" ht="18">
      <c r="A5" s="461"/>
      <c r="B5" s="657" t="s">
        <v>1350</v>
      </c>
      <c r="L5" s="506"/>
      <c r="M5" s="506"/>
      <c r="O5" s="506"/>
      <c r="X5" s="540"/>
    </row>
    <row r="6" spans="1:41" ht="20.25">
      <c r="A6" s="461"/>
      <c r="B6" s="657" t="s">
        <v>1175</v>
      </c>
      <c r="L6" s="506"/>
      <c r="M6" s="506"/>
      <c r="O6" s="506"/>
      <c r="AM6" s="512"/>
    </row>
    <row r="7" spans="1:41" ht="18">
      <c r="A7" s="461"/>
      <c r="B7" s="466" t="s">
        <v>1198</v>
      </c>
      <c r="AJ7" s="357"/>
      <c r="AK7" s="357"/>
      <c r="AL7" s="357"/>
      <c r="AM7" s="357"/>
    </row>
    <row r="8" spans="1:41" ht="13.5" customHeight="1">
      <c r="A8" s="461"/>
      <c r="L8" s="506"/>
      <c r="M8" s="506"/>
      <c r="N8" s="506"/>
      <c r="O8" s="506"/>
      <c r="AD8" s="357"/>
      <c r="AE8" s="506"/>
      <c r="AF8" s="506"/>
      <c r="AG8" s="357"/>
      <c r="AH8" s="357"/>
      <c r="AI8" s="357"/>
      <c r="AJ8" s="506"/>
      <c r="AK8" s="506"/>
      <c r="AL8" s="506"/>
      <c r="AM8" s="506"/>
    </row>
    <row r="9" spans="1:41" ht="20.25" customHeight="1">
      <c r="A9" s="461"/>
      <c r="L9" s="506"/>
      <c r="M9" s="506"/>
      <c r="N9" s="506"/>
      <c r="O9" s="506"/>
      <c r="AD9" s="541"/>
      <c r="AE9" s="542"/>
      <c r="AF9" s="542"/>
      <c r="AG9" s="3362" t="str">
        <f>+'Exhibit G'!AF10</f>
        <v>7 Months Ended October 31</v>
      </c>
      <c r="AH9" s="3363"/>
      <c r="AI9" s="3363"/>
      <c r="AJ9" s="3363"/>
      <c r="AK9" s="3363"/>
      <c r="AL9" s="541"/>
      <c r="AM9" s="541"/>
    </row>
    <row r="10" spans="1:41" ht="20.25">
      <c r="A10" s="461"/>
      <c r="B10" s="543"/>
      <c r="D10" s="1639"/>
      <c r="E10" s="1639"/>
      <c r="F10" s="1639"/>
      <c r="G10" s="1639"/>
      <c r="H10" s="1639"/>
      <c r="I10" s="1639"/>
      <c r="J10" s="1639"/>
      <c r="K10" s="1639"/>
      <c r="L10" s="1640"/>
      <c r="M10" s="1640"/>
      <c r="N10" s="1640"/>
      <c r="O10" s="1640"/>
      <c r="P10" s="1639"/>
      <c r="Q10" s="1639"/>
      <c r="R10" s="1639"/>
      <c r="S10" s="1639"/>
      <c r="T10" s="1639"/>
      <c r="U10" s="1639"/>
      <c r="V10" s="1639"/>
      <c r="W10" s="1639"/>
      <c r="X10" s="1639"/>
      <c r="Y10" s="1639"/>
      <c r="Z10" s="1639"/>
      <c r="AA10" s="1639"/>
      <c r="AB10" s="1634" t="s">
        <v>1604</v>
      </c>
      <c r="AC10" s="1639"/>
      <c r="AD10" s="1639"/>
      <c r="AE10" s="1639"/>
      <c r="AF10" s="1639"/>
      <c r="AG10" s="1639"/>
      <c r="AH10" s="1639"/>
      <c r="AI10" s="1639"/>
      <c r="AJ10" s="1639"/>
      <c r="AK10" s="1639"/>
      <c r="AL10" s="1639"/>
      <c r="AM10" s="1639"/>
      <c r="AN10" s="1639"/>
      <c r="AO10" s="1639"/>
    </row>
    <row r="11" spans="1:41" ht="13.5" customHeight="1">
      <c r="A11" s="461"/>
      <c r="B11" s="226"/>
      <c r="C11" s="226"/>
      <c r="D11" s="1627">
        <v>2014</v>
      </c>
      <c r="E11" s="225"/>
      <c r="F11" s="225"/>
      <c r="G11" s="225"/>
      <c r="H11" s="225"/>
      <c r="I11" s="225"/>
      <c r="J11" s="225"/>
      <c r="K11" s="225"/>
      <c r="L11" s="225"/>
      <c r="M11" s="225"/>
      <c r="N11" s="225"/>
      <c r="O11" s="225"/>
      <c r="P11" s="225"/>
      <c r="Q11" s="225"/>
      <c r="R11" s="225"/>
      <c r="S11" s="225"/>
      <c r="T11" s="225"/>
      <c r="U11" s="225"/>
      <c r="V11" s="1627">
        <v>2015</v>
      </c>
      <c r="W11" s="225"/>
      <c r="X11" s="225"/>
      <c r="Y11" s="225"/>
      <c r="Z11" s="225"/>
      <c r="AA11" s="225"/>
      <c r="AB11" s="1634" t="s">
        <v>1605</v>
      </c>
      <c r="AC11" s="225"/>
      <c r="AD11" s="225"/>
      <c r="AE11" s="418"/>
      <c r="AF11" s="418"/>
      <c r="AG11" s="418"/>
      <c r="AH11" s="418"/>
      <c r="AI11" s="418"/>
      <c r="AJ11" s="417"/>
      <c r="AK11" s="1634" t="s">
        <v>8</v>
      </c>
      <c r="AL11" s="1634"/>
      <c r="AM11" s="1634" t="s">
        <v>9</v>
      </c>
      <c r="AN11" s="1639"/>
      <c r="AO11" s="1639"/>
    </row>
    <row r="12" spans="1:41" ht="15.75">
      <c r="A12" s="461"/>
      <c r="B12" s="226"/>
      <c r="C12" s="226"/>
      <c r="D12" s="2357" t="s">
        <v>131</v>
      </c>
      <c r="E12" s="225"/>
      <c r="F12" s="2357" t="s">
        <v>132</v>
      </c>
      <c r="G12" s="225"/>
      <c r="H12" s="2357" t="s">
        <v>133</v>
      </c>
      <c r="I12" s="225"/>
      <c r="J12" s="2357" t="s">
        <v>134</v>
      </c>
      <c r="K12" s="225"/>
      <c r="L12" s="2357" t="s">
        <v>135</v>
      </c>
      <c r="M12" s="225"/>
      <c r="N12" s="2357" t="s">
        <v>136</v>
      </c>
      <c r="O12" s="225"/>
      <c r="P12" s="2357" t="s">
        <v>137</v>
      </c>
      <c r="Q12" s="225"/>
      <c r="R12" s="2357" t="s">
        <v>138</v>
      </c>
      <c r="S12" s="225"/>
      <c r="T12" s="2357" t="s">
        <v>139</v>
      </c>
      <c r="U12" s="225"/>
      <c r="V12" s="2357" t="s">
        <v>156</v>
      </c>
      <c r="W12" s="225"/>
      <c r="X12" s="2357" t="s">
        <v>141</v>
      </c>
      <c r="Y12" s="225"/>
      <c r="Z12" s="2357" t="s">
        <v>142</v>
      </c>
      <c r="AA12" s="1641"/>
      <c r="AB12" s="2364" t="s">
        <v>1606</v>
      </c>
      <c r="AC12" s="225"/>
      <c r="AD12" s="225"/>
      <c r="AE12" s="2363">
        <v>2014</v>
      </c>
      <c r="AF12" s="1627"/>
      <c r="AG12" s="1613" t="s">
        <v>16</v>
      </c>
      <c r="AH12" s="2363">
        <v>2013</v>
      </c>
      <c r="AI12" s="1612"/>
      <c r="AJ12" s="417"/>
      <c r="AK12" s="2364" t="s">
        <v>13</v>
      </c>
      <c r="AL12" s="1632"/>
      <c r="AM12" s="2364" t="s">
        <v>14</v>
      </c>
      <c r="AN12" s="1639"/>
      <c r="AO12" s="1639"/>
    </row>
    <row r="13" spans="1:41" s="2362" customFormat="1" ht="15.75">
      <c r="A13" s="2360"/>
      <c r="B13" s="233"/>
      <c r="C13" s="233"/>
      <c r="D13" s="1641"/>
      <c r="E13" s="483"/>
      <c r="F13" s="1641"/>
      <c r="G13" s="483"/>
      <c r="H13" s="1641"/>
      <c r="I13" s="483"/>
      <c r="J13" s="1641"/>
      <c r="K13" s="483"/>
      <c r="L13" s="1641"/>
      <c r="M13" s="483"/>
      <c r="N13" s="1641"/>
      <c r="O13" s="483"/>
      <c r="P13" s="1641"/>
      <c r="Q13" s="483"/>
      <c r="R13" s="1641"/>
      <c r="S13" s="483"/>
      <c r="T13" s="1641"/>
      <c r="U13" s="483"/>
      <c r="V13" s="1641"/>
      <c r="W13" s="483"/>
      <c r="X13" s="1641"/>
      <c r="Y13" s="483"/>
      <c r="Z13" s="1641"/>
      <c r="AA13" s="1641"/>
      <c r="AB13" s="1641"/>
      <c r="AC13" s="483"/>
      <c r="AD13" s="483"/>
      <c r="AE13" s="1612"/>
      <c r="AF13" s="1612"/>
      <c r="AG13" s="1641"/>
      <c r="AH13" s="1612"/>
      <c r="AI13" s="1612"/>
      <c r="AJ13" s="418"/>
      <c r="AK13" s="1632"/>
      <c r="AL13" s="1632"/>
      <c r="AM13" s="1632"/>
      <c r="AN13" s="2361"/>
      <c r="AO13" s="2361"/>
    </row>
    <row r="14" spans="1:41" ht="15" customHeight="1">
      <c r="A14" s="357"/>
      <c r="B14" s="225" t="s">
        <v>15</v>
      </c>
      <c r="C14" s="227"/>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359"/>
      <c r="AE14" s="233"/>
      <c r="AF14" s="226"/>
      <c r="AG14" s="544"/>
      <c r="AH14" s="226"/>
      <c r="AI14" s="233"/>
      <c r="AJ14" s="515"/>
      <c r="AK14" s="226"/>
      <c r="AL14" s="226"/>
      <c r="AM14" s="226"/>
    </row>
    <row r="15" spans="1:41" ht="15" customHeight="1">
      <c r="A15" s="357"/>
      <c r="B15" s="495" t="s">
        <v>1495</v>
      </c>
      <c r="C15" s="227"/>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544"/>
      <c r="AE15" s="233"/>
      <c r="AF15" s="226"/>
      <c r="AG15" s="544"/>
      <c r="AH15" s="226"/>
      <c r="AI15" s="519"/>
      <c r="AJ15" s="233"/>
      <c r="AK15" s="226"/>
      <c r="AL15" s="226"/>
      <c r="AM15" s="226"/>
    </row>
    <row r="16" spans="1:41" s="1639" customFormat="1" ht="15" customHeight="1">
      <c r="A16" s="2371"/>
      <c r="B16" s="2661" t="s">
        <v>1500</v>
      </c>
      <c r="C16" s="225"/>
      <c r="D16" s="2677">
        <v>0</v>
      </c>
      <c r="E16" s="1295"/>
      <c r="F16" s="2677">
        <v>0</v>
      </c>
      <c r="G16" s="1295"/>
      <c r="H16" s="2677">
        <v>424.2</v>
      </c>
      <c r="I16" s="1295"/>
      <c r="J16" s="2677">
        <v>0</v>
      </c>
      <c r="K16" s="1295"/>
      <c r="L16" s="2677">
        <v>0</v>
      </c>
      <c r="M16" s="1295"/>
      <c r="N16" s="2677">
        <v>203.3</v>
      </c>
      <c r="O16" s="1295"/>
      <c r="P16" s="2677">
        <v>4.5</v>
      </c>
      <c r="Q16" s="1295"/>
      <c r="R16" s="1295"/>
      <c r="S16" s="1295"/>
      <c r="T16" s="1297"/>
      <c r="U16" s="1295"/>
      <c r="V16" s="1297"/>
      <c r="W16" s="1295"/>
      <c r="X16" s="1297"/>
      <c r="Y16" s="1295"/>
      <c r="Z16" s="1297"/>
      <c r="AA16" s="1297"/>
      <c r="AB16" s="2677">
        <v>0</v>
      </c>
      <c r="AC16" s="1295"/>
      <c r="AD16" s="3212"/>
      <c r="AE16" s="2244">
        <f>ROUND(SUM(D16:AB16),1)</f>
        <v>632</v>
      </c>
      <c r="AF16" s="1297"/>
      <c r="AG16" s="2678"/>
      <c r="AH16" s="1295">
        <v>618.5</v>
      </c>
      <c r="AI16" s="2679"/>
      <c r="AJ16" s="2244"/>
      <c r="AK16" s="1295">
        <f>ROUND(SUM(+AE16-AH16),1)</f>
        <v>13.5</v>
      </c>
      <c r="AL16" s="1214"/>
      <c r="AM16" s="3119">
        <f>ROUND(IF(AH16=0,0,AK16/(AH16)),3)</f>
        <v>2.1999999999999999E-2</v>
      </c>
    </row>
    <row r="17" spans="1:39" s="1639" customFormat="1" ht="15" customHeight="1">
      <c r="A17" s="2371"/>
      <c r="B17" s="2661"/>
      <c r="C17" s="225"/>
      <c r="D17" s="2676"/>
      <c r="E17" s="299"/>
      <c r="F17" s="2676"/>
      <c r="G17" s="299"/>
      <c r="H17" s="2677"/>
      <c r="I17" s="299"/>
      <c r="J17" s="2676"/>
      <c r="K17" s="299"/>
      <c r="L17" s="2676"/>
      <c r="M17" s="299"/>
      <c r="N17" s="2676"/>
      <c r="O17" s="299"/>
      <c r="P17" s="299"/>
      <c r="Q17" s="299"/>
      <c r="R17" s="299"/>
      <c r="S17" s="299"/>
      <c r="T17" s="388"/>
      <c r="U17" s="299"/>
      <c r="V17" s="388"/>
      <c r="W17" s="299"/>
      <c r="X17" s="388"/>
      <c r="Y17" s="299"/>
      <c r="Z17" s="388"/>
      <c r="AA17" s="388"/>
      <c r="AB17" s="2676"/>
      <c r="AC17" s="299"/>
      <c r="AD17" s="551"/>
      <c r="AE17" s="429"/>
      <c r="AF17" s="1297"/>
      <c r="AG17" s="3100"/>
      <c r="AH17" s="299"/>
      <c r="AI17" s="2679"/>
      <c r="AJ17" s="2244"/>
      <c r="AK17" s="299"/>
      <c r="AL17" s="2154"/>
      <c r="AM17" s="3097"/>
    </row>
    <row r="18" spans="1:39" s="1639" customFormat="1" ht="6" customHeight="1">
      <c r="A18" s="2371"/>
      <c r="B18" s="2661"/>
      <c r="C18" s="225"/>
      <c r="D18" s="2676"/>
      <c r="E18" s="299"/>
      <c r="F18" s="2676"/>
      <c r="G18" s="299"/>
      <c r="H18" s="2677"/>
      <c r="I18" s="299"/>
      <c r="J18" s="2676"/>
      <c r="K18" s="299"/>
      <c r="L18" s="2676"/>
      <c r="M18" s="299"/>
      <c r="N18" s="2676"/>
      <c r="O18" s="299"/>
      <c r="P18" s="299"/>
      <c r="Q18" s="299"/>
      <c r="R18" s="299"/>
      <c r="S18" s="299"/>
      <c r="T18" s="388"/>
      <c r="U18" s="299"/>
      <c r="V18" s="388"/>
      <c r="W18" s="299"/>
      <c r="X18" s="388"/>
      <c r="Y18" s="299"/>
      <c r="Z18" s="388"/>
      <c r="AA18" s="388"/>
      <c r="AB18" s="2676"/>
      <c r="AC18" s="299"/>
      <c r="AD18" s="551"/>
      <c r="AE18" s="429"/>
      <c r="AF18" s="1297"/>
      <c r="AG18" s="3100"/>
      <c r="AH18" s="299"/>
      <c r="AI18" s="2679"/>
      <c r="AJ18" s="2244"/>
      <c r="AK18" s="299"/>
      <c r="AL18" s="2154"/>
      <c r="AM18" s="3097"/>
    </row>
    <row r="19" spans="1:39" ht="15" customHeight="1">
      <c r="A19" s="357"/>
      <c r="B19" s="2661" t="s">
        <v>1569</v>
      </c>
      <c r="C19" s="227"/>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1245"/>
      <c r="AC19" s="265"/>
      <c r="AD19" s="256"/>
      <c r="AE19" s="253"/>
      <c r="AF19" s="265"/>
      <c r="AG19" s="1769"/>
      <c r="AH19" s="265"/>
      <c r="AI19" s="520"/>
      <c r="AJ19" s="253"/>
      <c r="AK19" s="1214"/>
      <c r="AL19" s="2150"/>
      <c r="AM19" s="3155"/>
    </row>
    <row r="20" spans="1:39" ht="15" customHeight="1">
      <c r="A20" s="357"/>
      <c r="B20" s="2389" t="s">
        <v>1515</v>
      </c>
      <c r="C20" s="227"/>
      <c r="D20" s="2392">
        <v>101.2</v>
      </c>
      <c r="E20" s="2393"/>
      <c r="F20" s="2392">
        <v>64.099999999999994</v>
      </c>
      <c r="G20" s="2393"/>
      <c r="H20" s="2392">
        <v>81.599999999999994</v>
      </c>
      <c r="I20" s="2393"/>
      <c r="J20" s="2393">
        <v>64</v>
      </c>
      <c r="K20" s="2393"/>
      <c r="L20" s="1160">
        <v>63.3</v>
      </c>
      <c r="M20" s="2393"/>
      <c r="N20" s="1245">
        <v>83.6</v>
      </c>
      <c r="O20" s="2393"/>
      <c r="P20" s="1245">
        <v>65.2</v>
      </c>
      <c r="Q20" s="2393"/>
      <c r="R20" s="2393"/>
      <c r="S20" s="2393"/>
      <c r="T20" s="2393"/>
      <c r="U20" s="2393"/>
      <c r="V20" s="2393"/>
      <c r="W20" s="2393"/>
      <c r="X20" s="2393"/>
      <c r="Y20" s="2393"/>
      <c r="Z20" s="2393"/>
      <c r="AA20" s="2393"/>
      <c r="AB20" s="1245">
        <v>0</v>
      </c>
      <c r="AC20" s="2393"/>
      <c r="AD20" s="2394"/>
      <c r="AE20" s="2395">
        <f>ROUND(SUM(D20:AB20),1)</f>
        <v>523</v>
      </c>
      <c r="AF20" s="2396"/>
      <c r="AG20" s="2397"/>
      <c r="AH20" s="2932">
        <v>495.5</v>
      </c>
      <c r="AI20" s="520"/>
      <c r="AJ20" s="253"/>
      <c r="AK20" s="1214">
        <f t="shared" ref="AK20:AK26" si="0">ROUND(SUM(+AE20-AH20),1)</f>
        <v>27.5</v>
      </c>
      <c r="AL20" s="2150"/>
      <c r="AM20" s="3119">
        <f t="shared" ref="AM20:AM27" si="1">ROUND(IF(AH20=0,0,AK20/(AH20)),3)</f>
        <v>5.5E-2</v>
      </c>
    </row>
    <row r="21" spans="1:39" ht="15" customHeight="1">
      <c r="A21" s="357"/>
      <c r="B21" s="2389" t="s">
        <v>1516</v>
      </c>
      <c r="C21" s="227"/>
      <c r="D21" s="2392">
        <v>1.7</v>
      </c>
      <c r="E21" s="2393"/>
      <c r="F21" s="2392">
        <v>0</v>
      </c>
      <c r="G21" s="2393"/>
      <c r="H21" s="2392">
        <v>9.9</v>
      </c>
      <c r="I21" s="2393"/>
      <c r="J21" s="2393">
        <v>0.6</v>
      </c>
      <c r="K21" s="2393"/>
      <c r="L21" s="1245">
        <v>0</v>
      </c>
      <c r="M21" s="2393"/>
      <c r="N21" s="1245">
        <v>14.2</v>
      </c>
      <c r="O21" s="2393"/>
      <c r="P21" s="1245">
        <v>0</v>
      </c>
      <c r="Q21" s="2393"/>
      <c r="R21" s="2393"/>
      <c r="S21" s="2393"/>
      <c r="T21" s="2393"/>
      <c r="U21" s="2393"/>
      <c r="V21" s="2393"/>
      <c r="W21" s="2393"/>
      <c r="X21" s="2393"/>
      <c r="Y21" s="2393"/>
      <c r="Z21" s="2393"/>
      <c r="AA21" s="2393"/>
      <c r="AB21" s="1245">
        <v>0</v>
      </c>
      <c r="AC21" s="2393"/>
      <c r="AD21" s="2394"/>
      <c r="AE21" s="2395">
        <f t="shared" ref="AE21:AE26" si="2">ROUND(SUM(D21:AB21),1)</f>
        <v>26.4</v>
      </c>
      <c r="AF21" s="2396"/>
      <c r="AG21" s="2397"/>
      <c r="AH21" s="2927">
        <v>24.7</v>
      </c>
      <c r="AI21" s="520"/>
      <c r="AJ21" s="253"/>
      <c r="AK21" s="1214">
        <f t="shared" si="0"/>
        <v>1.7</v>
      </c>
      <c r="AL21" s="2150"/>
      <c r="AM21" s="3119">
        <f t="shared" si="1"/>
        <v>6.9000000000000006E-2</v>
      </c>
    </row>
    <row r="22" spans="1:39" ht="15" customHeight="1">
      <c r="A22" s="357"/>
      <c r="B22" s="2389" t="s">
        <v>1517</v>
      </c>
      <c r="C22" s="227"/>
      <c r="D22" s="2392">
        <v>86.2</v>
      </c>
      <c r="E22" s="2393"/>
      <c r="F22" s="2392">
        <v>79.599999999999994</v>
      </c>
      <c r="G22" s="2393"/>
      <c r="H22" s="2392">
        <v>80.900000000000006</v>
      </c>
      <c r="I22" s="2393"/>
      <c r="J22" s="2393">
        <v>93.9</v>
      </c>
      <c r="K22" s="2393"/>
      <c r="L22" s="1245">
        <v>85.3</v>
      </c>
      <c r="M22" s="2393"/>
      <c r="N22" s="1245">
        <v>87.1</v>
      </c>
      <c r="O22" s="2393"/>
      <c r="P22" s="1245">
        <v>85.8</v>
      </c>
      <c r="Q22" s="2393"/>
      <c r="R22" s="2393"/>
      <c r="S22" s="2393"/>
      <c r="T22" s="2393"/>
      <c r="U22" s="2393"/>
      <c r="V22" s="2393"/>
      <c r="W22" s="2393"/>
      <c r="X22" s="2393"/>
      <c r="Y22" s="2393"/>
      <c r="Z22" s="2393"/>
      <c r="AA22" s="2393"/>
      <c r="AB22" s="1245">
        <v>0</v>
      </c>
      <c r="AC22" s="2393"/>
      <c r="AD22" s="2394"/>
      <c r="AE22" s="2395">
        <f t="shared" si="2"/>
        <v>598.79999999999995</v>
      </c>
      <c r="AF22" s="2396"/>
      <c r="AG22" s="2397"/>
      <c r="AH22" s="2927">
        <v>640</v>
      </c>
      <c r="AI22" s="520"/>
      <c r="AJ22" s="253"/>
      <c r="AK22" s="1214">
        <f t="shared" si="0"/>
        <v>-41.2</v>
      </c>
      <c r="AL22" s="2150"/>
      <c r="AM22" s="3119">
        <f t="shared" si="1"/>
        <v>-6.4000000000000001E-2</v>
      </c>
    </row>
    <row r="23" spans="1:39" ht="15" customHeight="1">
      <c r="A23" s="357"/>
      <c r="B23" s="2389" t="s">
        <v>1518</v>
      </c>
      <c r="C23" s="227"/>
      <c r="D23" s="2392">
        <v>8.4</v>
      </c>
      <c r="E23" s="2393"/>
      <c r="F23" s="2392">
        <v>10.1</v>
      </c>
      <c r="G23" s="2393"/>
      <c r="H23" s="2392">
        <v>7.7</v>
      </c>
      <c r="I23" s="2393"/>
      <c r="J23" s="2393">
        <v>8.5</v>
      </c>
      <c r="K23" s="2393"/>
      <c r="L23" s="1160">
        <v>9.9</v>
      </c>
      <c r="M23" s="2393"/>
      <c r="N23" s="1245">
        <v>8.9</v>
      </c>
      <c r="O23" s="2393"/>
      <c r="P23" s="1245">
        <v>9.1999999999999993</v>
      </c>
      <c r="Q23" s="2393"/>
      <c r="R23" s="2393"/>
      <c r="S23" s="2393"/>
      <c r="T23" s="2393"/>
      <c r="U23" s="2393"/>
      <c r="V23" s="2393"/>
      <c r="W23" s="2393"/>
      <c r="X23" s="2393"/>
      <c r="Y23" s="2393"/>
      <c r="Z23" s="2393"/>
      <c r="AA23" s="2393"/>
      <c r="AB23" s="1245">
        <v>0</v>
      </c>
      <c r="AC23" s="2393"/>
      <c r="AD23" s="2394"/>
      <c r="AE23" s="2395">
        <f t="shared" si="2"/>
        <v>62.7</v>
      </c>
      <c r="AF23" s="2396"/>
      <c r="AG23" s="2397"/>
      <c r="AH23" s="2932">
        <v>60</v>
      </c>
      <c r="AI23" s="520"/>
      <c r="AJ23" s="253"/>
      <c r="AK23" s="1214">
        <f t="shared" si="0"/>
        <v>2.7</v>
      </c>
      <c r="AL23" s="2150"/>
      <c r="AM23" s="3119">
        <f t="shared" si="1"/>
        <v>4.4999999999999998E-2</v>
      </c>
    </row>
    <row r="24" spans="1:39" ht="15" customHeight="1">
      <c r="A24" s="357"/>
      <c r="B24" s="2389" t="s">
        <v>1519</v>
      </c>
      <c r="C24" s="227"/>
      <c r="D24" s="2392">
        <v>0</v>
      </c>
      <c r="E24" s="2393"/>
      <c r="F24" s="2392">
        <v>0</v>
      </c>
      <c r="G24" s="2393"/>
      <c r="H24" s="2392">
        <v>0</v>
      </c>
      <c r="I24" s="2393"/>
      <c r="J24" s="2393">
        <v>0</v>
      </c>
      <c r="K24" s="2393"/>
      <c r="L24" s="1245">
        <v>0</v>
      </c>
      <c r="M24" s="2393"/>
      <c r="N24" s="1245">
        <v>0</v>
      </c>
      <c r="O24" s="2393"/>
      <c r="P24" s="1245">
        <v>0</v>
      </c>
      <c r="Q24" s="2393"/>
      <c r="R24" s="2393"/>
      <c r="S24" s="2393"/>
      <c r="T24" s="2393"/>
      <c r="U24" s="2393"/>
      <c r="V24" s="2393"/>
      <c r="W24" s="2393"/>
      <c r="X24" s="2393"/>
      <c r="Y24" s="2393"/>
      <c r="Z24" s="2393"/>
      <c r="AA24" s="2393"/>
      <c r="AB24" s="1245">
        <v>0</v>
      </c>
      <c r="AC24" s="2393"/>
      <c r="AD24" s="2394"/>
      <c r="AE24" s="2395">
        <f t="shared" si="2"/>
        <v>0</v>
      </c>
      <c r="AF24" s="2396"/>
      <c r="AG24" s="2397"/>
      <c r="AH24" s="2929">
        <v>0</v>
      </c>
      <c r="AI24" s="520"/>
      <c r="AJ24" s="253"/>
      <c r="AK24" s="1214">
        <f t="shared" si="0"/>
        <v>0</v>
      </c>
      <c r="AL24" s="2150"/>
      <c r="AM24" s="3119">
        <f t="shared" si="1"/>
        <v>0</v>
      </c>
    </row>
    <row r="25" spans="1:39" ht="15" customHeight="1">
      <c r="A25" s="357"/>
      <c r="B25" s="2389" t="s">
        <v>1520</v>
      </c>
      <c r="C25" s="227"/>
      <c r="D25" s="2392">
        <v>0</v>
      </c>
      <c r="E25" s="2393"/>
      <c r="F25" s="2392">
        <v>0</v>
      </c>
      <c r="G25" s="2393"/>
      <c r="H25" s="2392">
        <v>0</v>
      </c>
      <c r="I25" s="2393"/>
      <c r="J25" s="2393">
        <v>0</v>
      </c>
      <c r="K25" s="2393"/>
      <c r="L25" s="1245">
        <v>0</v>
      </c>
      <c r="M25" s="2393"/>
      <c r="N25" s="1245">
        <v>0</v>
      </c>
      <c r="O25" s="2393"/>
      <c r="P25" s="1245">
        <v>0</v>
      </c>
      <c r="Q25" s="2393"/>
      <c r="R25" s="2393"/>
      <c r="S25" s="2393"/>
      <c r="T25" s="2393"/>
      <c r="U25" s="2393"/>
      <c r="V25" s="2393"/>
      <c r="W25" s="2393"/>
      <c r="X25" s="2393"/>
      <c r="Y25" s="2393"/>
      <c r="Z25" s="2393"/>
      <c r="AA25" s="2393"/>
      <c r="AB25" s="1245">
        <v>0</v>
      </c>
      <c r="AC25" s="2393"/>
      <c r="AD25" s="2394"/>
      <c r="AE25" s="2395">
        <f t="shared" si="2"/>
        <v>0</v>
      </c>
      <c r="AF25" s="2396"/>
      <c r="AG25" s="2397"/>
      <c r="AH25" s="2929">
        <v>0</v>
      </c>
      <c r="AI25" s="520"/>
      <c r="AJ25" s="253"/>
      <c r="AK25" s="1214">
        <f t="shared" si="0"/>
        <v>0</v>
      </c>
      <c r="AL25" s="2150"/>
      <c r="AM25" s="3119">
        <f t="shared" si="1"/>
        <v>0</v>
      </c>
    </row>
    <row r="26" spans="1:39" ht="15" customHeight="1">
      <c r="A26" s="357"/>
      <c r="B26" s="2391" t="s">
        <v>1521</v>
      </c>
      <c r="C26" s="227"/>
      <c r="D26" s="2392">
        <v>20.9</v>
      </c>
      <c r="E26" s="2393"/>
      <c r="F26" s="2392">
        <v>0.3</v>
      </c>
      <c r="G26" s="2393"/>
      <c r="H26" s="2392">
        <v>0.4</v>
      </c>
      <c r="I26" s="2393"/>
      <c r="J26" s="2393">
        <v>20.399999999999999</v>
      </c>
      <c r="K26" s="2393"/>
      <c r="L26" s="1245">
        <v>0.7</v>
      </c>
      <c r="M26" s="2393"/>
      <c r="N26" s="1245">
        <v>0.5</v>
      </c>
      <c r="O26" s="2393"/>
      <c r="P26" s="1245">
        <v>18.8</v>
      </c>
      <c r="Q26" s="2393"/>
      <c r="R26" s="2393"/>
      <c r="S26" s="2393"/>
      <c r="T26" s="2393"/>
      <c r="U26" s="2393"/>
      <c r="V26" s="2393"/>
      <c r="W26" s="2393"/>
      <c r="X26" s="2393"/>
      <c r="Y26" s="2393"/>
      <c r="Z26" s="2393"/>
      <c r="AA26" s="2393"/>
      <c r="AB26" s="1245">
        <v>0</v>
      </c>
      <c r="AC26" s="2393"/>
      <c r="AD26" s="2394"/>
      <c r="AE26" s="2395">
        <f t="shared" si="2"/>
        <v>62</v>
      </c>
      <c r="AF26" s="2396"/>
      <c r="AG26" s="2397"/>
      <c r="AH26" s="2927">
        <v>62.1</v>
      </c>
      <c r="AI26" s="520"/>
      <c r="AJ26" s="253"/>
      <c r="AK26" s="1214">
        <f t="shared" si="0"/>
        <v>-0.1</v>
      </c>
      <c r="AL26" s="2150"/>
      <c r="AM26" s="3119">
        <f t="shared" si="1"/>
        <v>-2E-3</v>
      </c>
    </row>
    <row r="27" spans="1:39" s="1639" customFormat="1" ht="15" customHeight="1">
      <c r="A27" s="2371"/>
      <c r="B27" s="2390" t="s">
        <v>1514</v>
      </c>
      <c r="C27" s="225"/>
      <c r="D27" s="260">
        <f>ROUND(SUM(D20:D26),1)</f>
        <v>218.4</v>
      </c>
      <c r="E27" s="2154"/>
      <c r="F27" s="260">
        <f>ROUND(SUM(F20:F26),1)</f>
        <v>154.1</v>
      </c>
      <c r="G27" s="2154"/>
      <c r="H27" s="260">
        <f>ROUND(SUM(H20:H26),1)</f>
        <v>180.5</v>
      </c>
      <c r="I27" s="2154"/>
      <c r="J27" s="260">
        <f>ROUND(SUM(J20:J26),1)</f>
        <v>187.4</v>
      </c>
      <c r="K27" s="2154"/>
      <c r="L27" s="260">
        <f>ROUND(SUM(L20:L26),1)</f>
        <v>159.19999999999999</v>
      </c>
      <c r="M27" s="2154"/>
      <c r="N27" s="260">
        <f>ROUND(SUM(N20:N26),1)</f>
        <v>194.3</v>
      </c>
      <c r="O27" s="2154"/>
      <c r="P27" s="260">
        <f>ROUND(SUM(P20:P26),1)</f>
        <v>179</v>
      </c>
      <c r="Q27" s="2154"/>
      <c r="R27" s="260">
        <f>ROUND(SUM(R20:R26),1)</f>
        <v>0</v>
      </c>
      <c r="S27" s="2154"/>
      <c r="T27" s="260">
        <f>ROUND(SUM(T20:T26),1)</f>
        <v>0</v>
      </c>
      <c r="U27" s="2154"/>
      <c r="V27" s="260">
        <f>ROUND(SUM(V20:V26),1)</f>
        <v>0</v>
      </c>
      <c r="W27" s="2154"/>
      <c r="X27" s="260">
        <f>ROUND(SUM(X20:X26),1)</f>
        <v>0</v>
      </c>
      <c r="Y27" s="2154"/>
      <c r="Z27" s="260">
        <f>ROUND(SUM(Z20:Z26),1)</f>
        <v>0</v>
      </c>
      <c r="AA27" s="277"/>
      <c r="AB27" s="260">
        <f>ROUND(SUM(AB20:AB26),1)</f>
        <v>0</v>
      </c>
      <c r="AC27" s="2154"/>
      <c r="AD27" s="760"/>
      <c r="AE27" s="260">
        <f>ROUND(SUM(AE20:AE26),1)</f>
        <v>1272.9000000000001</v>
      </c>
      <c r="AF27" s="2154"/>
      <c r="AG27" s="2193"/>
      <c r="AH27" s="260">
        <f>ROUND(SUM(AH20:AH26),1)</f>
        <v>1282.3</v>
      </c>
      <c r="AI27" s="527"/>
      <c r="AJ27" s="277"/>
      <c r="AK27" s="260">
        <f>ROUND(SUM(AK20:AK26),1)</f>
        <v>-9.4</v>
      </c>
      <c r="AL27" s="417"/>
      <c r="AM27" s="2342">
        <f t="shared" si="1"/>
        <v>-7.0000000000000001E-3</v>
      </c>
    </row>
    <row r="28" spans="1:39" ht="15" customHeight="1">
      <c r="A28" s="357"/>
      <c r="B28" s="313" t="s">
        <v>1501</v>
      </c>
      <c r="C28" s="227"/>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56"/>
      <c r="AE28" s="253"/>
      <c r="AF28" s="265"/>
      <c r="AG28" s="1769"/>
      <c r="AH28" s="265"/>
      <c r="AI28" s="520"/>
      <c r="AJ28" s="253"/>
      <c r="AK28" s="1214"/>
      <c r="AL28" s="2150"/>
      <c r="AM28" s="2150"/>
    </row>
    <row r="29" spans="1:39" ht="15" customHeight="1">
      <c r="A29" s="357"/>
      <c r="B29" s="2389" t="s">
        <v>1523</v>
      </c>
      <c r="C29" s="227"/>
      <c r="D29" s="2392">
        <v>20.7</v>
      </c>
      <c r="E29" s="2393"/>
      <c r="F29" s="2392">
        <v>18.899999999999999</v>
      </c>
      <c r="G29" s="2393"/>
      <c r="H29" s="2392">
        <v>64.900000000000006</v>
      </c>
      <c r="I29" s="265"/>
      <c r="J29" s="265">
        <v>12.5</v>
      </c>
      <c r="K29" s="265"/>
      <c r="L29" s="1160">
        <v>27.8</v>
      </c>
      <c r="M29" s="265"/>
      <c r="N29" s="1245">
        <v>65.400000000000006</v>
      </c>
      <c r="O29" s="265"/>
      <c r="P29" s="1245">
        <v>12.7</v>
      </c>
      <c r="Q29" s="265"/>
      <c r="R29" s="265"/>
      <c r="S29" s="265"/>
      <c r="T29" s="265"/>
      <c r="U29" s="265"/>
      <c r="V29" s="265"/>
      <c r="W29" s="265"/>
      <c r="X29" s="265"/>
      <c r="Y29" s="265"/>
      <c r="Z29" s="265"/>
      <c r="AA29" s="265"/>
      <c r="AB29" s="1245">
        <v>0</v>
      </c>
      <c r="AC29" s="265"/>
      <c r="AD29" s="256"/>
      <c r="AE29" s="2395">
        <f>ROUND(SUM(D29:AB29),1)</f>
        <v>222.9</v>
      </c>
      <c r="AF29" s="265"/>
      <c r="AG29" s="1769"/>
      <c r="AH29" s="87">
        <v>219.8</v>
      </c>
      <c r="AI29" s="520"/>
      <c r="AJ29" s="253"/>
      <c r="AK29" s="1214">
        <f>ROUND(SUM(+AE29-AH29),1)</f>
        <v>3.1</v>
      </c>
      <c r="AL29" s="2150"/>
      <c r="AM29" s="3119">
        <f t="shared" ref="AM29:AM34" si="3">ROUND(IF(AH29=0,0,AK29/(AH29)),3)</f>
        <v>1.4E-2</v>
      </c>
    </row>
    <row r="30" spans="1:39" ht="15" customHeight="1">
      <c r="A30" s="357"/>
      <c r="B30" s="2389" t="s">
        <v>1524</v>
      </c>
      <c r="C30" s="227"/>
      <c r="D30" s="2392">
        <v>0.3</v>
      </c>
      <c r="E30" s="2393"/>
      <c r="F30" s="2392">
        <v>1.3</v>
      </c>
      <c r="G30" s="2393"/>
      <c r="H30" s="2392">
        <v>30.6</v>
      </c>
      <c r="I30" s="265"/>
      <c r="J30" s="265">
        <v>0.2</v>
      </c>
      <c r="K30" s="265"/>
      <c r="L30" s="1160">
        <v>0.4</v>
      </c>
      <c r="M30" s="265"/>
      <c r="N30" s="1245">
        <v>32.1</v>
      </c>
      <c r="O30" s="265"/>
      <c r="P30" s="1245">
        <v>1.2</v>
      </c>
      <c r="Q30" s="265"/>
      <c r="R30" s="265"/>
      <c r="S30" s="265"/>
      <c r="T30" s="265"/>
      <c r="U30" s="265"/>
      <c r="V30" s="265"/>
      <c r="W30" s="265"/>
      <c r="X30" s="265"/>
      <c r="Y30" s="265"/>
      <c r="Z30" s="265"/>
      <c r="AA30" s="265"/>
      <c r="AB30" s="1245">
        <v>0</v>
      </c>
      <c r="AC30" s="265"/>
      <c r="AD30" s="256"/>
      <c r="AE30" s="2395">
        <f>ROUND(SUM(D30:AB30),1)</f>
        <v>66.099999999999994</v>
      </c>
      <c r="AF30" s="265"/>
      <c r="AG30" s="1769"/>
      <c r="AH30" s="87">
        <v>62.5</v>
      </c>
      <c r="AI30" s="520"/>
      <c r="AJ30" s="253"/>
      <c r="AK30" s="1214">
        <f>ROUND(SUM(+AE30-AH30),1)</f>
        <v>3.6</v>
      </c>
      <c r="AL30" s="2150"/>
      <c r="AM30" s="3119">
        <f t="shared" si="3"/>
        <v>5.8000000000000003E-2</v>
      </c>
    </row>
    <row r="31" spans="1:39" ht="15" customHeight="1">
      <c r="A31" s="357"/>
      <c r="B31" s="2389" t="s">
        <v>1525</v>
      </c>
      <c r="C31" s="227"/>
      <c r="D31" s="2392">
        <v>0.3</v>
      </c>
      <c r="E31" s="2393"/>
      <c r="F31" s="2392">
        <v>-1.4</v>
      </c>
      <c r="G31" s="2393"/>
      <c r="H31" s="2392">
        <v>34.5</v>
      </c>
      <c r="I31" s="265"/>
      <c r="J31" s="265">
        <v>-3.8</v>
      </c>
      <c r="K31" s="265"/>
      <c r="L31" s="1160">
        <v>2.8</v>
      </c>
      <c r="M31" s="265"/>
      <c r="N31" s="1245">
        <v>30.4</v>
      </c>
      <c r="O31" s="265"/>
      <c r="P31" s="1245">
        <v>-2.5</v>
      </c>
      <c r="Q31" s="265"/>
      <c r="R31" s="265"/>
      <c r="S31" s="265"/>
      <c r="T31" s="265"/>
      <c r="U31" s="265"/>
      <c r="V31" s="265"/>
      <c r="W31" s="265"/>
      <c r="X31" s="265"/>
      <c r="Y31" s="265"/>
      <c r="Z31" s="265"/>
      <c r="AA31" s="265"/>
      <c r="AB31" s="1245">
        <v>0</v>
      </c>
      <c r="AC31" s="265"/>
      <c r="AD31" s="256"/>
      <c r="AE31" s="2395">
        <f>ROUND(SUM(D31:AB31),1)</f>
        <v>60.3</v>
      </c>
      <c r="AF31" s="265"/>
      <c r="AG31" s="1769"/>
      <c r="AH31" s="2927">
        <v>65.8</v>
      </c>
      <c r="AI31" s="520"/>
      <c r="AJ31" s="253"/>
      <c r="AK31" s="1214">
        <f>ROUND(SUM(+AE31-AH31),1)</f>
        <v>-5.5</v>
      </c>
      <c r="AL31" s="2150"/>
      <c r="AM31" s="3119">
        <f t="shared" si="3"/>
        <v>-8.4000000000000005E-2</v>
      </c>
    </row>
    <row r="32" spans="1:39" ht="15" customHeight="1">
      <c r="A32" s="357"/>
      <c r="B32" s="2389" t="s">
        <v>1526</v>
      </c>
      <c r="C32" s="227"/>
      <c r="D32" s="2392">
        <v>4.5999999999999996</v>
      </c>
      <c r="E32" s="2393"/>
      <c r="F32" s="2392">
        <v>51.5</v>
      </c>
      <c r="G32" s="2393"/>
      <c r="H32" s="2392">
        <v>63.4</v>
      </c>
      <c r="I32" s="265"/>
      <c r="J32" s="265">
        <v>1.4</v>
      </c>
      <c r="K32" s="265"/>
      <c r="L32" s="1160">
        <v>-1.2</v>
      </c>
      <c r="M32" s="265"/>
      <c r="N32" s="1245">
        <v>28</v>
      </c>
      <c r="O32" s="265"/>
      <c r="P32" s="1245">
        <v>-15.8</v>
      </c>
      <c r="Q32" s="265"/>
      <c r="R32" s="265"/>
      <c r="S32" s="265"/>
      <c r="T32" s="265"/>
      <c r="U32" s="265"/>
      <c r="V32" s="265"/>
      <c r="W32" s="265"/>
      <c r="X32" s="265"/>
      <c r="Y32" s="265"/>
      <c r="Z32" s="265"/>
      <c r="AA32" s="265"/>
      <c r="AB32" s="1245">
        <v>0</v>
      </c>
      <c r="AC32" s="265"/>
      <c r="AD32" s="256"/>
      <c r="AE32" s="2395">
        <f>ROUND(SUM(D32:AB32),1)</f>
        <v>131.9</v>
      </c>
      <c r="AF32" s="265"/>
      <c r="AG32" s="1769"/>
      <c r="AH32" s="87">
        <v>81.5</v>
      </c>
      <c r="AI32" s="520"/>
      <c r="AJ32" s="253"/>
      <c r="AK32" s="1214">
        <f>ROUND(SUM(+AE32-AH32),1)</f>
        <v>50.4</v>
      </c>
      <c r="AL32" s="2150"/>
      <c r="AM32" s="3119">
        <f t="shared" si="3"/>
        <v>0.61799999999999999</v>
      </c>
    </row>
    <row r="33" spans="1:40" ht="15" customHeight="1">
      <c r="A33" s="357"/>
      <c r="B33" s="2389" t="s">
        <v>1527</v>
      </c>
      <c r="C33" s="227"/>
      <c r="D33" s="2392">
        <v>44.1</v>
      </c>
      <c r="E33" s="2393"/>
      <c r="F33" s="2392">
        <v>40.9</v>
      </c>
      <c r="G33" s="2393"/>
      <c r="H33" s="2392">
        <v>48.4</v>
      </c>
      <c r="I33" s="265"/>
      <c r="J33" s="265">
        <v>41.9</v>
      </c>
      <c r="K33" s="265"/>
      <c r="L33" s="1160">
        <v>51.1</v>
      </c>
      <c r="M33" s="265"/>
      <c r="N33" s="1245">
        <v>46</v>
      </c>
      <c r="O33" s="265"/>
      <c r="P33" s="1245">
        <v>41.8</v>
      </c>
      <c r="Q33" s="265"/>
      <c r="R33" s="265"/>
      <c r="S33" s="265"/>
      <c r="T33" s="265"/>
      <c r="U33" s="265"/>
      <c r="V33" s="265"/>
      <c r="W33" s="265"/>
      <c r="X33" s="265"/>
      <c r="Y33" s="265"/>
      <c r="Z33" s="265"/>
      <c r="AA33" s="265"/>
      <c r="AB33" s="1245">
        <v>0</v>
      </c>
      <c r="AC33" s="265"/>
      <c r="AD33" s="256"/>
      <c r="AE33" s="2395">
        <f>ROUND(SUM(D33:AB33),1)</f>
        <v>314.2</v>
      </c>
      <c r="AF33" s="265"/>
      <c r="AG33" s="1769"/>
      <c r="AH33" s="87">
        <v>308.89999999999998</v>
      </c>
      <c r="AI33" s="520"/>
      <c r="AJ33" s="253"/>
      <c r="AK33" s="1214">
        <f>ROUND(SUM(+AE33-AH33),1)</f>
        <v>5.3</v>
      </c>
      <c r="AL33" s="2150"/>
      <c r="AM33" s="3119">
        <f t="shared" si="3"/>
        <v>1.7000000000000001E-2</v>
      </c>
    </row>
    <row r="34" spans="1:40" s="1639" customFormat="1" ht="15" customHeight="1">
      <c r="A34" s="2371"/>
      <c r="B34" s="2390" t="s">
        <v>1522</v>
      </c>
      <c r="C34" s="225"/>
      <c r="D34" s="260">
        <f>ROUND(SUM(D29:D33),1)</f>
        <v>70</v>
      </c>
      <c r="E34" s="2154"/>
      <c r="F34" s="260">
        <f>ROUND(SUM(F29:F33),1)</f>
        <v>111.2</v>
      </c>
      <c r="G34" s="2154"/>
      <c r="H34" s="260">
        <f>ROUND(SUM(H29:H33),1)</f>
        <v>241.8</v>
      </c>
      <c r="I34" s="2154"/>
      <c r="J34" s="260">
        <f>ROUND(SUM(J29:J33),1)</f>
        <v>52.2</v>
      </c>
      <c r="K34" s="2154"/>
      <c r="L34" s="260">
        <f>ROUND(SUM(L29:L33),1)</f>
        <v>80.900000000000006</v>
      </c>
      <c r="M34" s="2154"/>
      <c r="N34" s="260">
        <f>ROUND(SUM(N29:N33),1)</f>
        <v>201.9</v>
      </c>
      <c r="O34" s="2154"/>
      <c r="P34" s="260">
        <f>ROUND(SUM(P29:P33),1)</f>
        <v>37.4</v>
      </c>
      <c r="Q34" s="2154"/>
      <c r="R34" s="260">
        <f>ROUND(SUM(R29:R33),1)</f>
        <v>0</v>
      </c>
      <c r="S34" s="2154"/>
      <c r="T34" s="260">
        <f>ROUND(SUM(T29:T33),1)</f>
        <v>0</v>
      </c>
      <c r="U34" s="2154"/>
      <c r="V34" s="260">
        <f>ROUND(SUM(V29:V33),1)</f>
        <v>0</v>
      </c>
      <c r="W34" s="2154"/>
      <c r="X34" s="260">
        <f>ROUND(SUM(X29:X33),1)</f>
        <v>0</v>
      </c>
      <c r="Y34" s="2154"/>
      <c r="Z34" s="260">
        <f>ROUND(SUM(Z29:Z33),1)</f>
        <v>0</v>
      </c>
      <c r="AA34" s="277"/>
      <c r="AB34" s="260">
        <f>ROUND(SUM(AB29:AB33),1)</f>
        <v>0</v>
      </c>
      <c r="AC34" s="2154"/>
      <c r="AD34" s="760"/>
      <c r="AE34" s="260">
        <f>ROUND(SUM(AE29:AE33),1)</f>
        <v>795.4</v>
      </c>
      <c r="AF34" s="2154"/>
      <c r="AG34" s="2193"/>
      <c r="AH34" s="260">
        <f>ROUND(SUM(AH29:AH33),1)</f>
        <v>738.5</v>
      </c>
      <c r="AI34" s="527"/>
      <c r="AJ34" s="277"/>
      <c r="AK34" s="260">
        <f>ROUND(SUM(AK29:AK33),1)</f>
        <v>56.9</v>
      </c>
      <c r="AL34" s="417"/>
      <c r="AM34" s="3156">
        <f t="shared" si="3"/>
        <v>7.6999999999999999E-2</v>
      </c>
    </row>
    <row r="35" spans="1:40" ht="15" customHeight="1">
      <c r="A35" s="357"/>
      <c r="B35" s="313" t="s">
        <v>1502</v>
      </c>
      <c r="C35" s="227"/>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56"/>
      <c r="AE35" s="253"/>
      <c r="AF35" s="265"/>
      <c r="AG35" s="1769"/>
      <c r="AH35" s="265"/>
      <c r="AI35" s="520"/>
      <c r="AJ35" s="253"/>
      <c r="AK35" s="1214"/>
      <c r="AL35" s="2150"/>
      <c r="AM35" s="2150"/>
    </row>
    <row r="36" spans="1:40" ht="15" customHeight="1">
      <c r="A36" s="357"/>
      <c r="B36" s="2391" t="s">
        <v>1535</v>
      </c>
      <c r="C36" s="227"/>
      <c r="D36" s="2392">
        <v>128.80000000000001</v>
      </c>
      <c r="E36" s="2393"/>
      <c r="F36" s="2392">
        <v>96.2</v>
      </c>
      <c r="G36" s="2393"/>
      <c r="H36" s="2392">
        <v>79.900000000000006</v>
      </c>
      <c r="I36" s="265"/>
      <c r="J36" s="265">
        <v>98.2</v>
      </c>
      <c r="K36" s="265"/>
      <c r="L36" s="1245">
        <v>85.1</v>
      </c>
      <c r="M36" s="265"/>
      <c r="N36" s="1245">
        <v>81.8</v>
      </c>
      <c r="O36" s="265"/>
      <c r="P36" s="1245">
        <v>101.6</v>
      </c>
      <c r="Q36" s="265"/>
      <c r="R36" s="265"/>
      <c r="S36" s="265"/>
      <c r="T36" s="265"/>
      <c r="U36" s="265"/>
      <c r="V36" s="265"/>
      <c r="W36" s="265"/>
      <c r="X36" s="265"/>
      <c r="Y36" s="265"/>
      <c r="Z36" s="265"/>
      <c r="AA36" s="265"/>
      <c r="AB36" s="1245">
        <v>0</v>
      </c>
      <c r="AC36" s="265"/>
      <c r="AD36" s="256"/>
      <c r="AE36" s="2395">
        <f>ROUND(SUM(D36:AB36),1)</f>
        <v>671.6</v>
      </c>
      <c r="AF36" s="2400"/>
      <c r="AG36" s="2401"/>
      <c r="AH36" s="2927">
        <v>642.20000000000005</v>
      </c>
      <c r="AI36" s="520"/>
      <c r="AJ36" s="253"/>
      <c r="AK36" s="1214">
        <f>ROUND(SUM(+AE36-AH36),1)</f>
        <v>29.4</v>
      </c>
      <c r="AL36" s="2150"/>
      <c r="AM36" s="3249">
        <f>ROUND(IF(AH36=0,0,AK36/(AH36)),3)</f>
        <v>4.5999999999999999E-2</v>
      </c>
    </row>
    <row r="37" spans="1:40" s="1639" customFormat="1" ht="15" customHeight="1">
      <c r="A37" s="2371"/>
      <c r="B37" s="2390" t="s">
        <v>1528</v>
      </c>
      <c r="C37" s="225"/>
      <c r="D37" s="260">
        <f>ROUND(SUM(D36:D36),1)</f>
        <v>128.80000000000001</v>
      </c>
      <c r="E37" s="2154"/>
      <c r="F37" s="260">
        <f>ROUND(SUM(F36:F36),1)</f>
        <v>96.2</v>
      </c>
      <c r="G37" s="2154"/>
      <c r="H37" s="260">
        <f>ROUND(SUM(H36:H36),1)</f>
        <v>79.900000000000006</v>
      </c>
      <c r="I37" s="2154"/>
      <c r="J37" s="260">
        <f>ROUND(SUM(J36:J36),1)</f>
        <v>98.2</v>
      </c>
      <c r="K37" s="2154"/>
      <c r="L37" s="260">
        <f>ROUND(SUM(L36:L36),1)</f>
        <v>85.1</v>
      </c>
      <c r="M37" s="2154"/>
      <c r="N37" s="260">
        <f>ROUND(SUM(N36:N36),1)</f>
        <v>81.8</v>
      </c>
      <c r="O37" s="2154"/>
      <c r="P37" s="260">
        <f>ROUND(SUM(P36:P36),1)</f>
        <v>101.6</v>
      </c>
      <c r="Q37" s="2154"/>
      <c r="R37" s="260">
        <f>ROUND(SUM(R36:R36),1)</f>
        <v>0</v>
      </c>
      <c r="S37" s="2154"/>
      <c r="T37" s="260">
        <f>ROUND(SUM(T36:T36),1)</f>
        <v>0</v>
      </c>
      <c r="U37" s="2154"/>
      <c r="V37" s="260">
        <f>ROUND(SUM(V36:V36),1)</f>
        <v>0</v>
      </c>
      <c r="W37" s="2154"/>
      <c r="X37" s="260">
        <f>ROUND(SUM(X36:X36),1)</f>
        <v>0</v>
      </c>
      <c r="Y37" s="2154"/>
      <c r="Z37" s="260">
        <f>ROUND(SUM(Z36:Z36),1)</f>
        <v>0</v>
      </c>
      <c r="AA37" s="277"/>
      <c r="AB37" s="260">
        <f>ROUND(SUM(AB36:AB36),1)</f>
        <v>0</v>
      </c>
      <c r="AC37" s="2154"/>
      <c r="AD37" s="760"/>
      <c r="AE37" s="260">
        <f>ROUND(SUM(AE36:AE36),1)</f>
        <v>671.6</v>
      </c>
      <c r="AF37" s="2154"/>
      <c r="AG37" s="2193"/>
      <c r="AH37" s="260">
        <f>ROUND(SUM(AH36:AH36),1)</f>
        <v>642.20000000000005</v>
      </c>
      <c r="AI37" s="527"/>
      <c r="AJ37" s="277"/>
      <c r="AK37" s="260">
        <f>ROUND(SUM(AK36:AK36),1)</f>
        <v>29.4</v>
      </c>
      <c r="AL37" s="417"/>
      <c r="AM37" s="3243">
        <f>ROUND(IF(AH37=0,0,AK37/(AH37)),3)</f>
        <v>4.5999999999999999E-2</v>
      </c>
    </row>
    <row r="38" spans="1:40" ht="15" customHeight="1">
      <c r="A38" s="357"/>
      <c r="B38" s="2390"/>
      <c r="C38" s="227"/>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1769"/>
      <c r="AE38" s="253"/>
      <c r="AF38" s="265"/>
      <c r="AG38" s="1769"/>
      <c r="AH38" s="253"/>
      <c r="AI38" s="520"/>
      <c r="AJ38" s="253"/>
      <c r="AK38" s="1214"/>
      <c r="AL38" s="2150"/>
      <c r="AM38" s="3242"/>
    </row>
    <row r="39" spans="1:40" ht="15" customHeight="1">
      <c r="A39" s="357"/>
      <c r="B39" s="594" t="s">
        <v>1496</v>
      </c>
      <c r="C39" s="227"/>
      <c r="D39" s="2350">
        <f>ROUND(SUM(D16+D27+D34+D37),1)</f>
        <v>417.2</v>
      </c>
      <c r="E39" s="265"/>
      <c r="F39" s="2350">
        <f>ROUND(SUM(F16+F27+F34+F37),1)</f>
        <v>361.5</v>
      </c>
      <c r="G39" s="265"/>
      <c r="H39" s="2350">
        <f>ROUND(SUM(H16+H27+H34+H37),1)</f>
        <v>926.4</v>
      </c>
      <c r="I39" s="265"/>
      <c r="J39" s="2350">
        <f>ROUND(SUM(J16+J27+J34+J37),1)</f>
        <v>337.8</v>
      </c>
      <c r="K39" s="265"/>
      <c r="L39" s="2350">
        <f>ROUND(SUM(L16+L27+L34+L37),1)</f>
        <v>325.2</v>
      </c>
      <c r="M39" s="265"/>
      <c r="N39" s="2350">
        <f>ROUND(SUM(N16+N27+N34+N37),1)</f>
        <v>681.3</v>
      </c>
      <c r="O39" s="265"/>
      <c r="P39" s="2350">
        <f>ROUND(SUM(P16+P27+P34+P37),1)</f>
        <v>322.5</v>
      </c>
      <c r="Q39" s="265"/>
      <c r="R39" s="2350">
        <f>ROUND(SUM(R16+R27+R34+R37),1)</f>
        <v>0</v>
      </c>
      <c r="S39" s="265"/>
      <c r="T39" s="2350">
        <f>ROUND(SUM(T16+T27+T34+T37),1)</f>
        <v>0</v>
      </c>
      <c r="U39" s="265"/>
      <c r="V39" s="2350">
        <f>ROUND(SUM(V16+V27+V34+V37),1)</f>
        <v>0</v>
      </c>
      <c r="W39" s="265"/>
      <c r="X39" s="2350">
        <f>ROUND(SUM(X16+X27+X34+X37),1)</f>
        <v>0</v>
      </c>
      <c r="Y39" s="265"/>
      <c r="Z39" s="2350">
        <f>ROUND(SUM(Z16+Z27+Z34+Z37),1)</f>
        <v>0</v>
      </c>
      <c r="AA39" s="2353"/>
      <c r="AB39" s="2350">
        <f>ROUND(SUM(AB16+AB27+AB34+AB37),1)</f>
        <v>0</v>
      </c>
      <c r="AC39" s="265"/>
      <c r="AD39" s="254"/>
      <c r="AE39" s="2350">
        <f>ROUND(SUM(AE16+AE27+AE34+AE37),1)</f>
        <v>3371.9</v>
      </c>
      <c r="AF39" s="265"/>
      <c r="AG39" s="254"/>
      <c r="AH39" s="3102">
        <f>ROUND(SUM(AH16+AH27+AH34+AH37),1)</f>
        <v>3281.5</v>
      </c>
      <c r="AI39" s="524"/>
      <c r="AJ39" s="253"/>
      <c r="AK39" s="2350">
        <f>ROUND(SUM(AK16+AK27+AK34+AK37),1)</f>
        <v>90.4</v>
      </c>
      <c r="AL39" s="1214"/>
      <c r="AM39" s="3256">
        <f>ROUND(IF(AH39=0,0,AK39/(AH39)),3)</f>
        <v>2.8000000000000001E-2</v>
      </c>
      <c r="AN39" s="1735"/>
    </row>
    <row r="40" spans="1:40" ht="15" customHeight="1">
      <c r="A40" s="357"/>
      <c r="B40" s="227"/>
      <c r="C40" s="227"/>
      <c r="D40" s="278"/>
      <c r="E40" s="265"/>
      <c r="F40" s="278"/>
      <c r="G40" s="265"/>
      <c r="H40" s="265"/>
      <c r="I40" s="265"/>
      <c r="J40" s="278"/>
      <c r="K40" s="265"/>
      <c r="L40" s="278"/>
      <c r="M40" s="265"/>
      <c r="N40" s="278"/>
      <c r="O40" s="265"/>
      <c r="P40" s="278"/>
      <c r="Q40" s="265"/>
      <c r="R40" s="278"/>
      <c r="S40" s="265"/>
      <c r="T40" s="278"/>
      <c r="U40" s="265"/>
      <c r="V40" s="278"/>
      <c r="W40" s="265"/>
      <c r="X40" s="278"/>
      <c r="Y40" s="265"/>
      <c r="Z40" s="278"/>
      <c r="AA40" s="278"/>
      <c r="AB40" s="278"/>
      <c r="AC40" s="265"/>
      <c r="AD40" s="254"/>
      <c r="AE40" s="265"/>
      <c r="AF40" s="270"/>
      <c r="AG40" s="256"/>
      <c r="AH40" s="521"/>
      <c r="AI40" s="524"/>
      <c r="AJ40" s="253"/>
      <c r="AK40" s="1214"/>
      <c r="AL40" s="1214"/>
      <c r="AM40" s="3240"/>
      <c r="AN40" s="1735"/>
    </row>
    <row r="41" spans="1:40" ht="15" customHeight="1">
      <c r="A41" s="357"/>
      <c r="B41" s="495" t="s">
        <v>1428</v>
      </c>
      <c r="C41" s="227"/>
      <c r="D41" s="278"/>
      <c r="E41" s="265"/>
      <c r="F41" s="278"/>
      <c r="G41" s="265"/>
      <c r="H41" s="265"/>
      <c r="I41" s="265"/>
      <c r="J41" s="278"/>
      <c r="K41" s="265"/>
      <c r="L41" s="278"/>
      <c r="M41" s="265"/>
      <c r="N41" s="278"/>
      <c r="O41" s="265"/>
      <c r="P41" s="278"/>
      <c r="Q41" s="265"/>
      <c r="R41" s="278"/>
      <c r="S41" s="265"/>
      <c r="T41" s="278"/>
      <c r="U41" s="265"/>
      <c r="V41" s="278"/>
      <c r="W41" s="265"/>
      <c r="X41" s="278"/>
      <c r="Y41" s="265"/>
      <c r="Z41" s="278"/>
      <c r="AA41" s="278"/>
      <c r="AB41" s="278"/>
      <c r="AC41" s="265"/>
      <c r="AD41" s="254"/>
      <c r="AE41" s="265"/>
      <c r="AF41" s="265"/>
      <c r="AG41" s="256"/>
      <c r="AH41" s="265"/>
      <c r="AI41" s="520"/>
      <c r="AJ41" s="253"/>
      <c r="AK41" s="1214"/>
      <c r="AL41" s="1214"/>
      <c r="AM41" s="3240"/>
      <c r="AN41" s="1735"/>
    </row>
    <row r="42" spans="1:40" ht="15" customHeight="1">
      <c r="A42" s="357"/>
      <c r="B42" s="1979" t="s">
        <v>1561</v>
      </c>
      <c r="C42" s="227"/>
      <c r="D42" s="278"/>
      <c r="E42" s="265"/>
      <c r="F42" s="278"/>
      <c r="G42" s="265"/>
      <c r="H42" s="265"/>
      <c r="I42" s="265"/>
      <c r="J42" s="278"/>
      <c r="K42" s="265"/>
      <c r="L42" s="278"/>
      <c r="M42" s="265"/>
      <c r="N42" s="278"/>
      <c r="O42" s="265"/>
      <c r="P42" s="278"/>
      <c r="Q42" s="265"/>
      <c r="R42" s="278"/>
      <c r="S42" s="265"/>
      <c r="T42" s="278"/>
      <c r="U42" s="265"/>
      <c r="V42" s="278"/>
      <c r="W42" s="265"/>
      <c r="X42" s="278"/>
      <c r="Y42" s="265"/>
      <c r="Z42" s="278"/>
      <c r="AA42" s="278"/>
      <c r="AB42" s="278"/>
      <c r="AC42" s="265"/>
      <c r="AD42" s="254"/>
      <c r="AE42" s="265"/>
      <c r="AF42" s="265"/>
      <c r="AG42" s="256"/>
      <c r="AH42" s="265"/>
      <c r="AI42" s="520"/>
      <c r="AJ42" s="253"/>
      <c r="AK42" s="1214"/>
      <c r="AL42" s="1214"/>
      <c r="AM42" s="3240"/>
      <c r="AN42" s="1735"/>
    </row>
    <row r="43" spans="1:40" ht="15" customHeight="1">
      <c r="A43" s="357"/>
      <c r="B43" s="1979" t="s">
        <v>1461</v>
      </c>
      <c r="C43" s="227"/>
      <c r="D43" s="323">
        <v>0.7</v>
      </c>
      <c r="E43" s="323"/>
      <c r="F43" s="323">
        <v>1.1000000000000001</v>
      </c>
      <c r="G43" s="323"/>
      <c r="H43" s="323">
        <v>1</v>
      </c>
      <c r="I43" s="323"/>
      <c r="J43" s="323">
        <v>1.3</v>
      </c>
      <c r="K43" s="265"/>
      <c r="L43" s="278">
        <v>0.8</v>
      </c>
      <c r="M43" s="265"/>
      <c r="N43" s="1245">
        <v>0.9</v>
      </c>
      <c r="O43" s="265"/>
      <c r="P43" s="1245">
        <v>0.8</v>
      </c>
      <c r="Q43" s="265"/>
      <c r="R43" s="278"/>
      <c r="S43" s="265"/>
      <c r="T43" s="278"/>
      <c r="U43" s="265"/>
      <c r="V43" s="278"/>
      <c r="W43" s="265"/>
      <c r="X43" s="278"/>
      <c r="Y43" s="265"/>
      <c r="Z43" s="278"/>
      <c r="AA43" s="278"/>
      <c r="AB43" s="1245">
        <v>0</v>
      </c>
      <c r="AC43" s="265"/>
      <c r="AD43" s="254"/>
      <c r="AE43" s="265">
        <f>ROUND(SUM(D43:AB43),1)</f>
        <v>6.6</v>
      </c>
      <c r="AF43" s="265"/>
      <c r="AG43" s="256"/>
      <c r="AH43" s="265">
        <v>6.1</v>
      </c>
      <c r="AI43" s="520"/>
      <c r="AJ43" s="253"/>
      <c r="AK43" s="1214">
        <f t="shared" ref="AK43:AK79" si="4">ROUND(SUM(+AE43-AH43),1)</f>
        <v>0.5</v>
      </c>
      <c r="AL43" s="1214"/>
      <c r="AM43" s="3240">
        <f>ROUND(IF(AH43=0,0,AK43/(AH43)),3)</f>
        <v>8.2000000000000003E-2</v>
      </c>
      <c r="AN43" s="1735"/>
    </row>
    <row r="44" spans="1:40" ht="15" customHeight="1">
      <c r="A44" s="357"/>
      <c r="B44" s="1979" t="s">
        <v>1562</v>
      </c>
      <c r="C44" s="227"/>
      <c r="D44" s="278"/>
      <c r="E44" s="265"/>
      <c r="F44" s="278"/>
      <c r="G44" s="265"/>
      <c r="H44" s="265"/>
      <c r="I44" s="265"/>
      <c r="J44" s="278"/>
      <c r="K44" s="265"/>
      <c r="L44" s="278"/>
      <c r="M44" s="265"/>
      <c r="N44" s="278"/>
      <c r="O44" s="265"/>
      <c r="P44" s="278"/>
      <c r="Q44" s="265"/>
      <c r="R44" s="278"/>
      <c r="S44" s="265"/>
      <c r="T44" s="278"/>
      <c r="U44" s="265"/>
      <c r="V44" s="278"/>
      <c r="W44" s="265"/>
      <c r="X44" s="278"/>
      <c r="Y44" s="265"/>
      <c r="Z44" s="278"/>
      <c r="AA44" s="278"/>
      <c r="AB44" s="278"/>
      <c r="AC44" s="265"/>
      <c r="AD44" s="254"/>
      <c r="AE44" s="265"/>
      <c r="AF44" s="265"/>
      <c r="AG44" s="256"/>
      <c r="AH44" s="265"/>
      <c r="AI44" s="520"/>
      <c r="AJ44" s="253"/>
      <c r="AK44" s="1214"/>
      <c r="AL44" s="1214"/>
      <c r="AM44" s="3240"/>
      <c r="AN44" s="1735"/>
    </row>
    <row r="45" spans="1:40" ht="15" customHeight="1">
      <c r="A45" s="357"/>
      <c r="B45" s="1979" t="s">
        <v>1463</v>
      </c>
      <c r="C45" s="227"/>
      <c r="D45" s="278">
        <v>61</v>
      </c>
      <c r="E45" s="265"/>
      <c r="F45" s="278">
        <v>60.7</v>
      </c>
      <c r="G45" s="265"/>
      <c r="H45" s="265">
        <v>148.69999999999999</v>
      </c>
      <c r="I45" s="265"/>
      <c r="J45" s="278">
        <v>7.4</v>
      </c>
      <c r="K45" s="265"/>
      <c r="L45" s="278">
        <v>52.2</v>
      </c>
      <c r="M45" s="265"/>
      <c r="N45" s="1245">
        <v>137.4</v>
      </c>
      <c r="O45" s="265"/>
      <c r="P45" s="1245">
        <v>20.3</v>
      </c>
      <c r="Q45" s="265"/>
      <c r="R45" s="278"/>
      <c r="S45" s="265"/>
      <c r="T45" s="278"/>
      <c r="U45" s="265"/>
      <c r="V45" s="278"/>
      <c r="W45" s="265"/>
      <c r="X45" s="278"/>
      <c r="Y45" s="265"/>
      <c r="Z45" s="278"/>
      <c r="AA45" s="278"/>
      <c r="AB45" s="1245">
        <v>0</v>
      </c>
      <c r="AC45" s="265"/>
      <c r="AD45" s="254"/>
      <c r="AE45" s="265">
        <f>ROUND(SUM(D45:AB45),1)</f>
        <v>487.7</v>
      </c>
      <c r="AF45" s="265"/>
      <c r="AG45" s="256"/>
      <c r="AH45" s="265">
        <v>478.4</v>
      </c>
      <c r="AI45" s="520"/>
      <c r="AJ45" s="253"/>
      <c r="AK45" s="1214">
        <f t="shared" si="4"/>
        <v>9.3000000000000007</v>
      </c>
      <c r="AL45" s="1214"/>
      <c r="AM45" s="3240">
        <f>ROUND(IF(AH45=0,0,AK45/(AH45)),3)</f>
        <v>1.9E-2</v>
      </c>
      <c r="AN45" s="1735"/>
    </row>
    <row r="46" spans="1:40" ht="15" customHeight="1">
      <c r="A46" s="357"/>
      <c r="B46" s="1979" t="s">
        <v>1464</v>
      </c>
      <c r="C46" s="227"/>
      <c r="D46" s="278">
        <v>383</v>
      </c>
      <c r="E46" s="265"/>
      <c r="F46" s="278">
        <v>376.1</v>
      </c>
      <c r="G46" s="265"/>
      <c r="H46" s="265">
        <v>355.8</v>
      </c>
      <c r="I46" s="265"/>
      <c r="J46" s="278">
        <f>1565.6-1114.9</f>
        <v>450.69999999999982</v>
      </c>
      <c r="K46" s="265"/>
      <c r="L46" s="278">
        <f>2001.6-1565.6</f>
        <v>436</v>
      </c>
      <c r="M46" s="265"/>
      <c r="N46" s="1245">
        <v>458.5</v>
      </c>
      <c r="O46" s="265"/>
      <c r="P46" s="1245">
        <v>424.6</v>
      </c>
      <c r="Q46" s="265"/>
      <c r="R46" s="278"/>
      <c r="S46" s="265"/>
      <c r="T46" s="278"/>
      <c r="U46" s="265"/>
      <c r="V46" s="278"/>
      <c r="W46" s="265"/>
      <c r="X46" s="278"/>
      <c r="Y46" s="265"/>
      <c r="Z46" s="278"/>
      <c r="AA46" s="278"/>
      <c r="AB46" s="1245">
        <v>0</v>
      </c>
      <c r="AC46" s="265"/>
      <c r="AD46" s="254"/>
      <c r="AE46" s="265">
        <f>ROUND(SUM(D46:AB46),1)</f>
        <v>2884.7</v>
      </c>
      <c r="AF46" s="265"/>
      <c r="AG46" s="256"/>
      <c r="AH46" s="265">
        <v>2793.7</v>
      </c>
      <c r="AI46" s="520"/>
      <c r="AJ46" s="253"/>
      <c r="AK46" s="1214">
        <f t="shared" si="4"/>
        <v>91</v>
      </c>
      <c r="AL46" s="1214"/>
      <c r="AM46" s="3240">
        <f>ROUND(IF(AH46=0,0,AK46/(AH46)),3)</f>
        <v>3.3000000000000002E-2</v>
      </c>
      <c r="AN46" s="1735"/>
    </row>
    <row r="47" spans="1:40" ht="15" customHeight="1">
      <c r="A47" s="357"/>
      <c r="B47" s="1979" t="s">
        <v>1465</v>
      </c>
      <c r="C47" s="227"/>
      <c r="D47" s="278">
        <v>0.5</v>
      </c>
      <c r="E47" s="265"/>
      <c r="F47" s="278">
        <v>0</v>
      </c>
      <c r="G47" s="265"/>
      <c r="H47" s="265">
        <v>0.3</v>
      </c>
      <c r="I47" s="265"/>
      <c r="J47" s="278">
        <v>0</v>
      </c>
      <c r="K47" s="265"/>
      <c r="L47" s="278">
        <v>0.4</v>
      </c>
      <c r="M47" s="265"/>
      <c r="N47" s="1245">
        <v>46</v>
      </c>
      <c r="O47" s="265"/>
      <c r="P47" s="1245">
        <v>0.9</v>
      </c>
      <c r="Q47" s="265"/>
      <c r="R47" s="278"/>
      <c r="S47" s="265"/>
      <c r="T47" s="278"/>
      <c r="U47" s="265"/>
      <c r="V47" s="278"/>
      <c r="W47" s="265"/>
      <c r="X47" s="278"/>
      <c r="Y47" s="265"/>
      <c r="Z47" s="278"/>
      <c r="AA47" s="278"/>
      <c r="AB47" s="1245">
        <v>0</v>
      </c>
      <c r="AC47" s="265"/>
      <c r="AD47" s="254"/>
      <c r="AE47" s="265">
        <f>ROUND(SUM(D47:AB47),1)</f>
        <v>48.1</v>
      </c>
      <c r="AF47" s="265"/>
      <c r="AG47" s="256"/>
      <c r="AH47" s="265">
        <v>43.3</v>
      </c>
      <c r="AI47" s="520"/>
      <c r="AJ47" s="253"/>
      <c r="AK47" s="1214">
        <f t="shared" si="4"/>
        <v>4.8</v>
      </c>
      <c r="AL47" s="1214"/>
      <c r="AM47" s="3240">
        <f>ROUND(IF(AH47=0,0,AK47/(AH47)),3)</f>
        <v>0.111</v>
      </c>
      <c r="AN47" s="1735"/>
    </row>
    <row r="48" spans="1:40" ht="15" customHeight="1">
      <c r="A48" s="357"/>
      <c r="B48" s="1979" t="s">
        <v>1466</v>
      </c>
      <c r="C48" s="227"/>
      <c r="D48" s="278">
        <v>16.5</v>
      </c>
      <c r="E48" s="265"/>
      <c r="F48" s="278">
        <v>17.100000000000001</v>
      </c>
      <c r="G48" s="265"/>
      <c r="H48" s="265">
        <f>51.2-33.6</f>
        <v>17.600000000000001</v>
      </c>
      <c r="I48" s="265"/>
      <c r="J48" s="278">
        <f>68.7-51.2</f>
        <v>17.5</v>
      </c>
      <c r="K48" s="265"/>
      <c r="L48" s="278">
        <f>86.8-68.7</f>
        <v>18.099999999999994</v>
      </c>
      <c r="M48" s="265"/>
      <c r="N48" s="1245">
        <v>16.8</v>
      </c>
      <c r="O48" s="265"/>
      <c r="P48" s="1245">
        <v>17.5</v>
      </c>
      <c r="Q48" s="265"/>
      <c r="R48" s="278"/>
      <c r="S48" s="265"/>
      <c r="T48" s="278"/>
      <c r="U48" s="265"/>
      <c r="V48" s="278"/>
      <c r="W48" s="265"/>
      <c r="X48" s="278"/>
      <c r="Y48" s="265"/>
      <c r="Z48" s="278"/>
      <c r="AA48" s="278"/>
      <c r="AB48" s="1245">
        <v>0</v>
      </c>
      <c r="AC48" s="265"/>
      <c r="AD48" s="254"/>
      <c r="AE48" s="265">
        <f>ROUND(SUM(D48:AB48),1)</f>
        <v>121.1</v>
      </c>
      <c r="AF48" s="265"/>
      <c r="AG48" s="256"/>
      <c r="AH48" s="265">
        <v>121.6</v>
      </c>
      <c r="AI48" s="520"/>
      <c r="AJ48" s="253"/>
      <c r="AK48" s="1214">
        <f t="shared" si="4"/>
        <v>-0.5</v>
      </c>
      <c r="AL48" s="1214"/>
      <c r="AM48" s="3240">
        <f>ROUND(IF(AH48=0,0,AK48/(AH48)),3)</f>
        <v>-4.0000000000000001E-3</v>
      </c>
      <c r="AN48" s="1735"/>
    </row>
    <row r="49" spans="1:40" ht="15" customHeight="1">
      <c r="A49" s="357"/>
      <c r="B49" s="1979" t="s">
        <v>1567</v>
      </c>
      <c r="C49" s="227"/>
      <c r="D49" s="278"/>
      <c r="E49" s="265"/>
      <c r="F49" s="278"/>
      <c r="G49" s="265"/>
      <c r="H49" s="265"/>
      <c r="I49" s="265"/>
      <c r="J49" s="278"/>
      <c r="K49" s="265"/>
      <c r="L49" s="278"/>
      <c r="M49" s="265"/>
      <c r="N49" s="278"/>
      <c r="O49" s="265"/>
      <c r="P49" s="278"/>
      <c r="Q49" s="265"/>
      <c r="R49" s="278"/>
      <c r="S49" s="265"/>
      <c r="T49" s="278"/>
      <c r="U49" s="265"/>
      <c r="V49" s="278"/>
      <c r="W49" s="265"/>
      <c r="X49" s="278"/>
      <c r="Y49" s="265"/>
      <c r="Z49" s="278"/>
      <c r="AA49" s="278"/>
      <c r="AB49" s="278"/>
      <c r="AC49" s="265"/>
      <c r="AD49" s="254"/>
      <c r="AE49" s="265"/>
      <c r="AF49" s="265"/>
      <c r="AG49" s="256"/>
      <c r="AH49" s="265"/>
      <c r="AI49" s="520"/>
      <c r="AJ49" s="253"/>
      <c r="AK49" s="1214"/>
      <c r="AL49" s="1214"/>
      <c r="AM49" s="3240"/>
      <c r="AN49" s="1735"/>
    </row>
    <row r="50" spans="1:40" ht="15" customHeight="1">
      <c r="A50" s="357"/>
      <c r="B50" s="1979" t="s">
        <v>1467</v>
      </c>
      <c r="C50" s="227"/>
      <c r="D50" s="278">
        <v>58.7</v>
      </c>
      <c r="E50" s="265"/>
      <c r="F50" s="278">
        <v>51.9</v>
      </c>
      <c r="G50" s="265"/>
      <c r="H50" s="265">
        <v>86.7</v>
      </c>
      <c r="I50" s="265"/>
      <c r="J50" s="278">
        <f>251.7-197.3</f>
        <v>54.399999999999977</v>
      </c>
      <c r="K50" s="265"/>
      <c r="L50" s="278">
        <f>337.7-251.7</f>
        <v>86</v>
      </c>
      <c r="M50" s="265"/>
      <c r="N50" s="1245">
        <v>189.4</v>
      </c>
      <c r="O50" s="265"/>
      <c r="P50" s="1245">
        <v>95.4</v>
      </c>
      <c r="Q50" s="265"/>
      <c r="R50" s="278"/>
      <c r="S50" s="265"/>
      <c r="T50" s="278"/>
      <c r="U50" s="265"/>
      <c r="V50" s="278"/>
      <c r="W50" s="265"/>
      <c r="X50" s="278"/>
      <c r="Y50" s="265"/>
      <c r="Z50" s="278"/>
      <c r="AA50" s="278"/>
      <c r="AB50" s="1245">
        <v>0</v>
      </c>
      <c r="AC50" s="265"/>
      <c r="AD50" s="254"/>
      <c r="AE50" s="265">
        <f t="shared" ref="AE50:AE55" si="5">ROUND(SUM(D50:AB50),1)</f>
        <v>622.5</v>
      </c>
      <c r="AF50" s="265"/>
      <c r="AG50" s="256"/>
      <c r="AH50" s="265">
        <v>630.79999999999995</v>
      </c>
      <c r="AI50" s="520"/>
      <c r="AJ50" s="253"/>
      <c r="AK50" s="1214">
        <f t="shared" si="4"/>
        <v>-8.3000000000000007</v>
      </c>
      <c r="AL50" s="1214"/>
      <c r="AM50" s="3240">
        <f t="shared" ref="AM50:AM55" si="6">ROUND(IF(AH50=0,0,AK50/(AH50)),3)</f>
        <v>-1.2999999999999999E-2</v>
      </c>
      <c r="AN50" s="1735"/>
    </row>
    <row r="51" spans="1:40" ht="15" customHeight="1">
      <c r="A51" s="357"/>
      <c r="B51" s="1979" t="s">
        <v>1468</v>
      </c>
      <c r="C51" s="227"/>
      <c r="D51" s="278">
        <v>4</v>
      </c>
      <c r="E51" s="265"/>
      <c r="F51" s="278">
        <v>5</v>
      </c>
      <c r="G51" s="265"/>
      <c r="H51" s="265">
        <v>4.5999999999999996</v>
      </c>
      <c r="I51" s="265"/>
      <c r="J51" s="278">
        <f>17.5-13.6</f>
        <v>3.9000000000000004</v>
      </c>
      <c r="K51" s="265"/>
      <c r="L51" s="278">
        <v>-9.3000000000000007</v>
      </c>
      <c r="M51" s="265"/>
      <c r="N51" s="1245">
        <v>1.8</v>
      </c>
      <c r="O51" s="265"/>
      <c r="P51" s="1245">
        <v>2.1</v>
      </c>
      <c r="Q51" s="265"/>
      <c r="R51" s="278"/>
      <c r="S51" s="265"/>
      <c r="T51" s="278"/>
      <c r="U51" s="265"/>
      <c r="V51" s="278"/>
      <c r="W51" s="265"/>
      <c r="X51" s="278"/>
      <c r="Y51" s="265"/>
      <c r="Z51" s="278"/>
      <c r="AA51" s="278"/>
      <c r="AB51" s="1245">
        <v>0</v>
      </c>
      <c r="AC51" s="265"/>
      <c r="AD51" s="254"/>
      <c r="AE51" s="265">
        <f t="shared" si="5"/>
        <v>12.1</v>
      </c>
      <c r="AF51" s="265"/>
      <c r="AG51" s="256"/>
      <c r="AH51" s="265">
        <v>29.5</v>
      </c>
      <c r="AI51" s="520"/>
      <c r="AJ51" s="253"/>
      <c r="AK51" s="1214">
        <f t="shared" si="4"/>
        <v>-17.399999999999999</v>
      </c>
      <c r="AL51" s="1214"/>
      <c r="AM51" s="3240">
        <f t="shared" si="6"/>
        <v>-0.59</v>
      </c>
      <c r="AN51" s="1735"/>
    </row>
    <row r="52" spans="1:40" ht="15" customHeight="1">
      <c r="A52" s="357"/>
      <c r="B52" s="1979" t="s">
        <v>1469</v>
      </c>
      <c r="C52" s="227"/>
      <c r="D52" s="278">
        <v>0</v>
      </c>
      <c r="E52" s="265"/>
      <c r="F52" s="278">
        <v>1.3</v>
      </c>
      <c r="G52" s="265"/>
      <c r="H52" s="265">
        <v>0.7</v>
      </c>
      <c r="I52" s="265"/>
      <c r="J52" s="278">
        <v>0.4</v>
      </c>
      <c r="K52" s="265"/>
      <c r="L52" s="278">
        <v>0</v>
      </c>
      <c r="M52" s="265"/>
      <c r="N52" s="1245">
        <v>2.1</v>
      </c>
      <c r="O52" s="265"/>
      <c r="P52" s="1245">
        <v>0.3</v>
      </c>
      <c r="Q52" s="265"/>
      <c r="R52" s="278"/>
      <c r="S52" s="265"/>
      <c r="T52" s="278"/>
      <c r="U52" s="265"/>
      <c r="V52" s="278"/>
      <c r="W52" s="265"/>
      <c r="X52" s="278"/>
      <c r="Y52" s="265"/>
      <c r="Z52" s="278"/>
      <c r="AA52" s="278"/>
      <c r="AB52" s="1245">
        <v>0</v>
      </c>
      <c r="AC52" s="265"/>
      <c r="AD52" s="254"/>
      <c r="AE52" s="265">
        <f t="shared" si="5"/>
        <v>4.8</v>
      </c>
      <c r="AF52" s="265"/>
      <c r="AG52" s="256"/>
      <c r="AH52" s="265">
        <v>5.2</v>
      </c>
      <c r="AI52" s="520"/>
      <c r="AJ52" s="253"/>
      <c r="AK52" s="1214">
        <f t="shared" si="4"/>
        <v>-0.4</v>
      </c>
      <c r="AL52" s="1214"/>
      <c r="AM52" s="3240">
        <f t="shared" si="6"/>
        <v>-7.6999999999999999E-2</v>
      </c>
      <c r="AN52" s="1735"/>
    </row>
    <row r="53" spans="1:40" ht="15" customHeight="1">
      <c r="A53" s="357"/>
      <c r="B53" s="1979" t="s">
        <v>1470</v>
      </c>
      <c r="C53" s="227"/>
      <c r="D53" s="278">
        <v>36.4</v>
      </c>
      <c r="E53" s="265"/>
      <c r="F53" s="278">
        <v>44.8</v>
      </c>
      <c r="G53" s="265"/>
      <c r="H53" s="265">
        <v>39.6</v>
      </c>
      <c r="I53" s="265"/>
      <c r="J53" s="278">
        <f>160.8-120.8</f>
        <v>40.000000000000014</v>
      </c>
      <c r="K53" s="265"/>
      <c r="L53" s="278">
        <f>201.8-160.8</f>
        <v>41</v>
      </c>
      <c r="M53" s="265"/>
      <c r="N53" s="1245">
        <v>42.9</v>
      </c>
      <c r="O53" s="265"/>
      <c r="P53" s="1245">
        <v>27</v>
      </c>
      <c r="Q53" s="265"/>
      <c r="R53" s="278"/>
      <c r="S53" s="265"/>
      <c r="T53" s="278"/>
      <c r="U53" s="265"/>
      <c r="V53" s="278"/>
      <c r="W53" s="265"/>
      <c r="X53" s="278"/>
      <c r="Y53" s="265"/>
      <c r="Z53" s="278"/>
      <c r="AA53" s="278"/>
      <c r="AB53" s="1245">
        <v>0</v>
      </c>
      <c r="AC53" s="265"/>
      <c r="AD53" s="254"/>
      <c r="AE53" s="265">
        <f t="shared" si="5"/>
        <v>271.7</v>
      </c>
      <c r="AF53" s="265"/>
      <c r="AG53" s="256"/>
      <c r="AH53" s="265">
        <v>308.39999999999998</v>
      </c>
      <c r="AI53" s="520"/>
      <c r="AJ53" s="253"/>
      <c r="AK53" s="1214">
        <f t="shared" si="4"/>
        <v>-36.700000000000003</v>
      </c>
      <c r="AL53" s="1214"/>
      <c r="AM53" s="3240">
        <f t="shared" si="6"/>
        <v>-0.11899999999999999</v>
      </c>
      <c r="AN53" s="1735"/>
    </row>
    <row r="54" spans="1:40" ht="15" customHeight="1">
      <c r="A54" s="357"/>
      <c r="B54" s="1979" t="s">
        <v>1471</v>
      </c>
      <c r="C54" s="227"/>
      <c r="D54" s="278">
        <v>12.4</v>
      </c>
      <c r="E54" s="265"/>
      <c r="F54" s="278">
        <f>30.8-12.4</f>
        <v>18.399999999999999</v>
      </c>
      <c r="G54" s="265"/>
      <c r="H54" s="265">
        <f>54.2-30.8</f>
        <v>23.400000000000002</v>
      </c>
      <c r="I54" s="265"/>
      <c r="J54" s="278">
        <f>84.7-54.2</f>
        <v>30.5</v>
      </c>
      <c r="K54" s="265"/>
      <c r="L54" s="278">
        <v>20.7</v>
      </c>
      <c r="M54" s="265"/>
      <c r="N54" s="1245">
        <v>17.7</v>
      </c>
      <c r="O54" s="265"/>
      <c r="P54" s="1245">
        <v>30.9</v>
      </c>
      <c r="Q54" s="265"/>
      <c r="R54" s="278"/>
      <c r="S54" s="265"/>
      <c r="T54" s="278"/>
      <c r="U54" s="265"/>
      <c r="V54" s="278"/>
      <c r="W54" s="265"/>
      <c r="X54" s="278"/>
      <c r="Y54" s="265"/>
      <c r="Z54" s="278"/>
      <c r="AA54" s="278"/>
      <c r="AB54" s="1245">
        <v>0</v>
      </c>
      <c r="AC54" s="265"/>
      <c r="AD54" s="254"/>
      <c r="AE54" s="265">
        <f t="shared" si="5"/>
        <v>154</v>
      </c>
      <c r="AF54" s="265"/>
      <c r="AG54" s="256"/>
      <c r="AH54" s="265">
        <v>121</v>
      </c>
      <c r="AI54" s="520"/>
      <c r="AJ54" s="253"/>
      <c r="AK54" s="1214">
        <f t="shared" si="4"/>
        <v>33</v>
      </c>
      <c r="AL54" s="1214"/>
      <c r="AM54" s="3240">
        <f t="shared" si="6"/>
        <v>0.27300000000000002</v>
      </c>
      <c r="AN54" s="1735"/>
    </row>
    <row r="55" spans="1:40" ht="15" customHeight="1">
      <c r="A55" s="357"/>
      <c r="B55" s="1979" t="s">
        <v>1429</v>
      </c>
      <c r="C55" s="227"/>
      <c r="D55" s="278">
        <v>-65.400000000000006</v>
      </c>
      <c r="E55" s="265"/>
      <c r="F55" s="278">
        <v>16.100000000000001</v>
      </c>
      <c r="G55" s="265"/>
      <c r="H55" s="265">
        <v>13.7</v>
      </c>
      <c r="I55" s="265"/>
      <c r="J55" s="278">
        <v>9.1999999999999993</v>
      </c>
      <c r="K55" s="265"/>
      <c r="L55" s="278">
        <v>5.9</v>
      </c>
      <c r="M55" s="265"/>
      <c r="N55" s="1245">
        <v>18.899999999999999</v>
      </c>
      <c r="O55" s="265"/>
      <c r="P55" s="1245">
        <v>13.5</v>
      </c>
      <c r="Q55" s="265"/>
      <c r="R55" s="278"/>
      <c r="S55" s="265"/>
      <c r="T55" s="278"/>
      <c r="U55" s="265"/>
      <c r="V55" s="278"/>
      <c r="W55" s="265"/>
      <c r="X55" s="278"/>
      <c r="Y55" s="265"/>
      <c r="Z55" s="278"/>
      <c r="AA55" s="278"/>
      <c r="AB55" s="1245">
        <v>0</v>
      </c>
      <c r="AC55" s="265"/>
      <c r="AD55" s="254"/>
      <c r="AE55" s="265">
        <f t="shared" si="5"/>
        <v>11.9</v>
      </c>
      <c r="AF55" s="265"/>
      <c r="AG55" s="256"/>
      <c r="AH55" s="265">
        <v>95.4</v>
      </c>
      <c r="AI55" s="520"/>
      <c r="AJ55" s="253"/>
      <c r="AK55" s="1214">
        <f t="shared" si="4"/>
        <v>-83.5</v>
      </c>
      <c r="AL55" s="1214"/>
      <c r="AM55" s="3240">
        <f t="shared" si="6"/>
        <v>-0.875</v>
      </c>
      <c r="AN55" s="1735"/>
    </row>
    <row r="56" spans="1:40" ht="15" customHeight="1">
      <c r="A56" s="357"/>
      <c r="B56" s="1979" t="s">
        <v>1564</v>
      </c>
      <c r="C56" s="227"/>
      <c r="D56" s="278"/>
      <c r="E56" s="265"/>
      <c r="F56" s="278"/>
      <c r="G56" s="265"/>
      <c r="H56" s="265"/>
      <c r="I56" s="265"/>
      <c r="J56" s="278"/>
      <c r="K56" s="265"/>
      <c r="L56" s="278"/>
      <c r="M56" s="265"/>
      <c r="N56" s="278"/>
      <c r="O56" s="265"/>
      <c r="P56" s="278"/>
      <c r="Q56" s="265"/>
      <c r="R56" s="278"/>
      <c r="S56" s="265"/>
      <c r="T56" s="278"/>
      <c r="U56" s="265"/>
      <c r="V56" s="278"/>
      <c r="W56" s="265"/>
      <c r="X56" s="278"/>
      <c r="Y56" s="265"/>
      <c r="Z56" s="278"/>
      <c r="AA56" s="278"/>
      <c r="AB56" s="278"/>
      <c r="AC56" s="265"/>
      <c r="AD56" s="254"/>
      <c r="AE56" s="265"/>
      <c r="AF56" s="265"/>
      <c r="AG56" s="256"/>
      <c r="AH56" s="265"/>
      <c r="AI56" s="520"/>
      <c r="AJ56" s="253"/>
      <c r="AK56" s="1214"/>
      <c r="AL56" s="1214"/>
      <c r="AM56" s="3240"/>
      <c r="AN56" s="1735"/>
    </row>
    <row r="57" spans="1:40" ht="15" customHeight="1">
      <c r="A57" s="357"/>
      <c r="B57" s="1979" t="s">
        <v>1472</v>
      </c>
      <c r="C57" s="227"/>
      <c r="D57" s="278">
        <v>4</v>
      </c>
      <c r="E57" s="265"/>
      <c r="F57" s="278">
        <v>1.7</v>
      </c>
      <c r="G57" s="265"/>
      <c r="H57" s="265">
        <v>0.5</v>
      </c>
      <c r="I57" s="265"/>
      <c r="J57" s="278">
        <f>55.1-6.2</f>
        <v>48.9</v>
      </c>
      <c r="K57" s="265"/>
      <c r="L57" s="278">
        <v>0</v>
      </c>
      <c r="M57" s="265"/>
      <c r="N57" s="1245">
        <v>0.8</v>
      </c>
      <c r="O57" s="265"/>
      <c r="P57" s="1245">
        <v>51.2</v>
      </c>
      <c r="Q57" s="265"/>
      <c r="R57" s="278"/>
      <c r="S57" s="265"/>
      <c r="T57" s="278"/>
      <c r="U57" s="265"/>
      <c r="V57" s="278"/>
      <c r="W57" s="265"/>
      <c r="X57" s="278"/>
      <c r="Y57" s="265"/>
      <c r="Z57" s="278"/>
      <c r="AA57" s="278"/>
      <c r="AB57" s="1245">
        <v>0</v>
      </c>
      <c r="AC57" s="265"/>
      <c r="AD57" s="254"/>
      <c r="AE57" s="265">
        <f>ROUND(SUM(D57:AB57),1)</f>
        <v>107.1</v>
      </c>
      <c r="AF57" s="265"/>
      <c r="AG57" s="256"/>
      <c r="AH57" s="265">
        <v>452.1</v>
      </c>
      <c r="AI57" s="520"/>
      <c r="AJ57" s="253"/>
      <c r="AK57" s="1214">
        <f t="shared" si="4"/>
        <v>-345</v>
      </c>
      <c r="AL57" s="1214"/>
      <c r="AM57" s="3240">
        <f>ROUND(IF(AH57=0,0,AK57/(AH57)),3)</f>
        <v>-0.76300000000000001</v>
      </c>
      <c r="AN57" s="1735"/>
    </row>
    <row r="58" spans="1:40" ht="15" customHeight="1">
      <c r="A58" s="357"/>
      <c r="B58" s="1979" t="s">
        <v>1473</v>
      </c>
      <c r="C58" s="227"/>
      <c r="D58" s="278">
        <v>220.6</v>
      </c>
      <c r="E58" s="265"/>
      <c r="F58" s="278">
        <v>181.9</v>
      </c>
      <c r="G58" s="265"/>
      <c r="H58" s="265">
        <f>575-402.5</f>
        <v>172.5</v>
      </c>
      <c r="I58" s="265"/>
      <c r="J58" s="278">
        <f>792.2-575</f>
        <v>217.20000000000005</v>
      </c>
      <c r="K58" s="265"/>
      <c r="L58" s="278">
        <v>173.4</v>
      </c>
      <c r="M58" s="265"/>
      <c r="N58" s="1245">
        <v>172.4</v>
      </c>
      <c r="O58" s="265"/>
      <c r="P58" s="1245">
        <v>218.6</v>
      </c>
      <c r="Q58" s="265"/>
      <c r="R58" s="278"/>
      <c r="S58" s="265"/>
      <c r="T58" s="278"/>
      <c r="U58" s="265"/>
      <c r="V58" s="278"/>
      <c r="W58" s="265"/>
      <c r="X58" s="278"/>
      <c r="Y58" s="265"/>
      <c r="Z58" s="278"/>
      <c r="AA58" s="278"/>
      <c r="AB58" s="1245">
        <v>0</v>
      </c>
      <c r="AC58" s="265"/>
      <c r="AD58" s="254"/>
      <c r="AE58" s="265">
        <f>ROUND(SUM(D58:AB58),1)</f>
        <v>1356.6</v>
      </c>
      <c r="AF58" s="265"/>
      <c r="AG58" s="256"/>
      <c r="AH58" s="265">
        <v>1415.7</v>
      </c>
      <c r="AI58" s="520"/>
      <c r="AJ58" s="253"/>
      <c r="AK58" s="1214">
        <f t="shared" si="4"/>
        <v>-59.1</v>
      </c>
      <c r="AL58" s="1214"/>
      <c r="AM58" s="3240">
        <f>ROUND(IF(AH58=0,0,AK58/(AH58)),3)</f>
        <v>-4.2000000000000003E-2</v>
      </c>
      <c r="AN58" s="1735"/>
    </row>
    <row r="59" spans="1:40" ht="15" customHeight="1">
      <c r="A59" s="357"/>
      <c r="B59" s="1979" t="s">
        <v>1474</v>
      </c>
      <c r="C59" s="227"/>
      <c r="D59" s="278">
        <v>91.5</v>
      </c>
      <c r="E59" s="265"/>
      <c r="F59" s="278">
        <v>71.7</v>
      </c>
      <c r="G59" s="265"/>
      <c r="H59" s="265">
        <f>233.3-163.2</f>
        <v>70.100000000000023</v>
      </c>
      <c r="I59" s="265"/>
      <c r="J59" s="278">
        <f>320.6-233.3</f>
        <v>87.300000000000011</v>
      </c>
      <c r="K59" s="265"/>
      <c r="L59" s="278">
        <v>71.099999999999994</v>
      </c>
      <c r="M59" s="265"/>
      <c r="N59" s="1245">
        <v>71.3</v>
      </c>
      <c r="O59" s="265"/>
      <c r="P59" s="1245">
        <v>86.7</v>
      </c>
      <c r="Q59" s="265"/>
      <c r="R59" s="278"/>
      <c r="S59" s="265"/>
      <c r="T59" s="278"/>
      <c r="U59" s="265"/>
      <c r="V59" s="278"/>
      <c r="W59" s="265"/>
      <c r="X59" s="278"/>
      <c r="Y59" s="265"/>
      <c r="Z59" s="278"/>
      <c r="AA59" s="278"/>
      <c r="AB59" s="1245">
        <v>0</v>
      </c>
      <c r="AC59" s="265"/>
      <c r="AD59" s="254"/>
      <c r="AE59" s="265">
        <f>ROUND(SUM(D59:AB59),1)</f>
        <v>549.70000000000005</v>
      </c>
      <c r="AF59" s="265"/>
      <c r="AG59" s="256"/>
      <c r="AH59" s="265">
        <v>565.79999999999995</v>
      </c>
      <c r="AI59" s="520"/>
      <c r="AJ59" s="253"/>
      <c r="AK59" s="1214">
        <f t="shared" si="4"/>
        <v>-16.100000000000001</v>
      </c>
      <c r="AL59" s="1214"/>
      <c r="AM59" s="3240">
        <f>ROUND(IF(AH59=0,0,AK59/(AH59)),3)</f>
        <v>-2.8000000000000001E-2</v>
      </c>
      <c r="AN59" s="1735"/>
    </row>
    <row r="60" spans="1:40" ht="15" customHeight="1">
      <c r="A60" s="357"/>
      <c r="B60" s="1979" t="s">
        <v>1430</v>
      </c>
      <c r="C60" s="227"/>
      <c r="D60" s="278">
        <v>2.2999999999999998</v>
      </c>
      <c r="E60" s="265"/>
      <c r="F60" s="278">
        <v>2.5</v>
      </c>
      <c r="G60" s="265"/>
      <c r="H60" s="265">
        <v>2.2000000000000002</v>
      </c>
      <c r="I60" s="265"/>
      <c r="J60" s="278">
        <v>2</v>
      </c>
      <c r="K60" s="265"/>
      <c r="L60" s="278">
        <v>1.8</v>
      </c>
      <c r="M60" s="265"/>
      <c r="N60" s="1245">
        <v>2.6</v>
      </c>
      <c r="O60" s="265"/>
      <c r="P60" s="1245">
        <v>2.4</v>
      </c>
      <c r="Q60" s="265"/>
      <c r="R60" s="278"/>
      <c r="S60" s="265"/>
      <c r="T60" s="278"/>
      <c r="U60" s="265"/>
      <c r="V60" s="278"/>
      <c r="W60" s="265"/>
      <c r="X60" s="278"/>
      <c r="Y60" s="265"/>
      <c r="Z60" s="278"/>
      <c r="AA60" s="278"/>
      <c r="AB60" s="1245">
        <v>0</v>
      </c>
      <c r="AC60" s="265"/>
      <c r="AD60" s="254"/>
      <c r="AE60" s="265">
        <f>ROUND(SUM(D60:AB60),1)</f>
        <v>15.8</v>
      </c>
      <c r="AF60" s="265"/>
      <c r="AG60" s="256"/>
      <c r="AH60" s="265">
        <v>15.5</v>
      </c>
      <c r="AI60" s="520"/>
      <c r="AJ60" s="253"/>
      <c r="AK60" s="1214">
        <f t="shared" si="4"/>
        <v>0.3</v>
      </c>
      <c r="AL60" s="1214"/>
      <c r="AM60" s="3240">
        <f>ROUND(IF(AH60=0,0,AK60/(AH60)),3)</f>
        <v>1.9E-2</v>
      </c>
      <c r="AN60" s="1735"/>
    </row>
    <row r="61" spans="1:40" ht="15" customHeight="1">
      <c r="A61" s="357"/>
      <c r="B61" s="1979" t="s">
        <v>1565</v>
      </c>
      <c r="C61" s="227"/>
      <c r="D61" s="278"/>
      <c r="E61" s="265"/>
      <c r="F61" s="278"/>
      <c r="G61" s="265"/>
      <c r="H61" s="265"/>
      <c r="I61" s="265"/>
      <c r="J61" s="278"/>
      <c r="K61" s="265"/>
      <c r="L61" s="278"/>
      <c r="M61" s="265"/>
      <c r="N61" s="278"/>
      <c r="O61" s="265"/>
      <c r="P61" s="278"/>
      <c r="Q61" s="265"/>
      <c r="R61" s="278"/>
      <c r="S61" s="265"/>
      <c r="T61" s="278"/>
      <c r="U61" s="265"/>
      <c r="V61" s="278"/>
      <c r="W61" s="265"/>
      <c r="X61" s="278"/>
      <c r="Y61" s="265"/>
      <c r="Z61" s="278"/>
      <c r="AA61" s="278"/>
      <c r="AB61" s="278"/>
      <c r="AC61" s="265"/>
      <c r="AD61" s="254"/>
      <c r="AE61" s="265"/>
      <c r="AF61" s="265"/>
      <c r="AG61" s="256"/>
      <c r="AH61" s="265"/>
      <c r="AI61" s="520"/>
      <c r="AJ61" s="253"/>
      <c r="AK61" s="1214"/>
      <c r="AL61" s="1214"/>
      <c r="AM61" s="3240"/>
      <c r="AN61" s="1735"/>
    </row>
    <row r="62" spans="1:40" ht="15" customHeight="1">
      <c r="A62" s="357"/>
      <c r="B62" s="1979" t="s">
        <v>1475</v>
      </c>
      <c r="C62" s="227"/>
      <c r="D62" s="278">
        <v>0</v>
      </c>
      <c r="E62" s="265"/>
      <c r="F62" s="278">
        <v>0</v>
      </c>
      <c r="G62" s="265"/>
      <c r="H62" s="265">
        <v>0</v>
      </c>
      <c r="I62" s="265"/>
      <c r="J62" s="278">
        <v>0</v>
      </c>
      <c r="K62" s="265"/>
      <c r="L62" s="278">
        <v>0</v>
      </c>
      <c r="M62" s="265"/>
      <c r="N62" s="1245">
        <v>0</v>
      </c>
      <c r="O62" s="265"/>
      <c r="P62" s="1245">
        <v>0</v>
      </c>
      <c r="Q62" s="265"/>
      <c r="R62" s="278"/>
      <c r="S62" s="265"/>
      <c r="T62" s="278"/>
      <c r="U62" s="265"/>
      <c r="V62" s="278"/>
      <c r="W62" s="265"/>
      <c r="X62" s="278"/>
      <c r="Y62" s="265"/>
      <c r="Z62" s="278"/>
      <c r="AA62" s="278"/>
      <c r="AB62" s="1245">
        <v>0</v>
      </c>
      <c r="AC62" s="265"/>
      <c r="AD62" s="254"/>
      <c r="AE62" s="265">
        <f t="shared" ref="AE62:AE67" si="7">ROUND(SUM(D62:AB62),1)</f>
        <v>0</v>
      </c>
      <c r="AF62" s="265"/>
      <c r="AG62" s="256"/>
      <c r="AH62" s="265">
        <v>0</v>
      </c>
      <c r="AI62" s="520"/>
      <c r="AJ62" s="253"/>
      <c r="AK62" s="1214">
        <f t="shared" si="4"/>
        <v>0</v>
      </c>
      <c r="AL62" s="1214"/>
      <c r="AM62" s="3240">
        <f t="shared" ref="AM62:AM79" si="8">ROUND(IF(AH62=0,0,AK62/(AH62)),3)</f>
        <v>0</v>
      </c>
      <c r="AN62" s="1735"/>
    </row>
    <row r="63" spans="1:40" ht="15" customHeight="1">
      <c r="A63" s="357"/>
      <c r="B63" s="1979" t="s">
        <v>1476</v>
      </c>
      <c r="C63" s="227"/>
      <c r="D63" s="278">
        <v>0</v>
      </c>
      <c r="E63" s="265"/>
      <c r="F63" s="278">
        <v>20.399999999999999</v>
      </c>
      <c r="G63" s="265"/>
      <c r="H63" s="265">
        <v>0</v>
      </c>
      <c r="I63" s="265"/>
      <c r="J63" s="278">
        <v>0</v>
      </c>
      <c r="K63" s="265"/>
      <c r="L63" s="278">
        <v>0</v>
      </c>
      <c r="M63" s="265"/>
      <c r="N63" s="1245">
        <v>0</v>
      </c>
      <c r="O63" s="265"/>
      <c r="P63" s="1245">
        <v>0</v>
      </c>
      <c r="Q63" s="265"/>
      <c r="R63" s="278"/>
      <c r="S63" s="265"/>
      <c r="T63" s="278"/>
      <c r="U63" s="265"/>
      <c r="V63" s="278"/>
      <c r="W63" s="265"/>
      <c r="X63" s="278"/>
      <c r="Y63" s="265"/>
      <c r="Z63" s="278"/>
      <c r="AA63" s="278"/>
      <c r="AB63" s="1245">
        <v>0</v>
      </c>
      <c r="AC63" s="265"/>
      <c r="AD63" s="254"/>
      <c r="AE63" s="265">
        <f t="shared" si="7"/>
        <v>20.399999999999999</v>
      </c>
      <c r="AF63" s="265"/>
      <c r="AG63" s="256"/>
      <c r="AH63" s="265">
        <v>20.399999999999999</v>
      </c>
      <c r="AI63" s="520"/>
      <c r="AJ63" s="253"/>
      <c r="AK63" s="1214">
        <f t="shared" si="4"/>
        <v>0</v>
      </c>
      <c r="AL63" s="1214"/>
      <c r="AM63" s="3240">
        <f t="shared" si="8"/>
        <v>0</v>
      </c>
      <c r="AN63" s="1735"/>
    </row>
    <row r="64" spans="1:40" ht="15" customHeight="1">
      <c r="A64" s="357"/>
      <c r="B64" s="1979" t="s">
        <v>1477</v>
      </c>
      <c r="C64" s="227"/>
      <c r="D64" s="278">
        <v>4.2</v>
      </c>
      <c r="E64" s="265"/>
      <c r="F64" s="278">
        <v>0.7</v>
      </c>
      <c r="G64" s="265"/>
      <c r="H64" s="265">
        <f>7.2-4.9</f>
        <v>2.2999999999999998</v>
      </c>
      <c r="I64" s="265"/>
      <c r="J64" s="278">
        <v>0</v>
      </c>
      <c r="K64" s="265"/>
      <c r="L64" s="278">
        <v>0</v>
      </c>
      <c r="M64" s="265"/>
      <c r="N64" s="1245">
        <v>0</v>
      </c>
      <c r="O64" s="265"/>
      <c r="P64" s="1245">
        <v>0</v>
      </c>
      <c r="Q64" s="265"/>
      <c r="R64" s="278"/>
      <c r="S64" s="265"/>
      <c r="T64" s="278"/>
      <c r="U64" s="265"/>
      <c r="V64" s="278"/>
      <c r="W64" s="265"/>
      <c r="X64" s="278"/>
      <c r="Y64" s="265"/>
      <c r="Z64" s="278"/>
      <c r="AA64" s="278"/>
      <c r="AB64" s="1245">
        <v>0</v>
      </c>
      <c r="AC64" s="265"/>
      <c r="AD64" s="254"/>
      <c r="AE64" s="265">
        <f t="shared" si="7"/>
        <v>7.2</v>
      </c>
      <c r="AF64" s="265"/>
      <c r="AG64" s="256"/>
      <c r="AH64" s="265">
        <v>7.2</v>
      </c>
      <c r="AI64" s="520"/>
      <c r="AJ64" s="253"/>
      <c r="AK64" s="1214">
        <f t="shared" si="4"/>
        <v>0</v>
      </c>
      <c r="AL64" s="1214"/>
      <c r="AM64" s="3240">
        <f t="shared" si="8"/>
        <v>0</v>
      </c>
      <c r="AN64" s="1735"/>
    </row>
    <row r="65" spans="1:40" ht="15" customHeight="1">
      <c r="A65" s="357"/>
      <c r="B65" s="1979" t="s">
        <v>1478</v>
      </c>
      <c r="C65" s="227"/>
      <c r="D65" s="278">
        <v>0.2</v>
      </c>
      <c r="E65" s="265"/>
      <c r="F65" s="278">
        <v>1.8</v>
      </c>
      <c r="G65" s="265"/>
      <c r="H65" s="265">
        <v>0.6</v>
      </c>
      <c r="I65" s="265"/>
      <c r="J65" s="278">
        <v>0.2</v>
      </c>
      <c r="K65" s="265"/>
      <c r="L65" s="278">
        <v>0.7</v>
      </c>
      <c r="M65" s="265"/>
      <c r="N65" s="1245">
        <v>0.2</v>
      </c>
      <c r="O65" s="265"/>
      <c r="P65" s="1245">
        <v>3.2</v>
      </c>
      <c r="Q65" s="265"/>
      <c r="R65" s="278"/>
      <c r="S65" s="265"/>
      <c r="T65" s="278"/>
      <c r="U65" s="265"/>
      <c r="V65" s="278"/>
      <c r="W65" s="265"/>
      <c r="X65" s="278"/>
      <c r="Y65" s="265"/>
      <c r="Z65" s="278"/>
      <c r="AA65" s="278"/>
      <c r="AB65" s="1245">
        <v>0</v>
      </c>
      <c r="AC65" s="265"/>
      <c r="AD65" s="254"/>
      <c r="AE65" s="265">
        <f t="shared" si="7"/>
        <v>6.9</v>
      </c>
      <c r="AF65" s="265"/>
      <c r="AG65" s="256"/>
      <c r="AH65" s="265">
        <v>4.0999999999999996</v>
      </c>
      <c r="AI65" s="520"/>
      <c r="AJ65" s="253"/>
      <c r="AK65" s="1214">
        <f t="shared" si="4"/>
        <v>2.8</v>
      </c>
      <c r="AL65" s="1214"/>
      <c r="AM65" s="3240">
        <f t="shared" si="8"/>
        <v>0.68300000000000005</v>
      </c>
      <c r="AN65" s="1735"/>
    </row>
    <row r="66" spans="1:40" ht="15" customHeight="1">
      <c r="A66" s="357"/>
      <c r="B66" s="1979" t="s">
        <v>1448</v>
      </c>
      <c r="C66" s="227"/>
      <c r="D66" s="278">
        <v>32.6</v>
      </c>
      <c r="E66" s="265"/>
      <c r="F66" s="278">
        <v>5.3</v>
      </c>
      <c r="G66" s="265"/>
      <c r="H66" s="265">
        <f>46.6-37.9</f>
        <v>8.7000000000000028</v>
      </c>
      <c r="I66" s="265"/>
      <c r="J66" s="278">
        <v>5.9</v>
      </c>
      <c r="K66" s="265"/>
      <c r="L66" s="278">
        <v>4.2</v>
      </c>
      <c r="M66" s="265"/>
      <c r="N66" s="1245">
        <v>7.5</v>
      </c>
      <c r="O66" s="265"/>
      <c r="P66" s="1245">
        <v>6.2</v>
      </c>
      <c r="Q66" s="265"/>
      <c r="R66" s="278"/>
      <c r="S66" s="265"/>
      <c r="T66" s="278"/>
      <c r="U66" s="265"/>
      <c r="V66" s="278"/>
      <c r="W66" s="265"/>
      <c r="X66" s="278"/>
      <c r="Y66" s="265"/>
      <c r="Z66" s="278"/>
      <c r="AA66" s="278"/>
      <c r="AB66" s="1245">
        <v>0</v>
      </c>
      <c r="AC66" s="265"/>
      <c r="AD66" s="254"/>
      <c r="AE66" s="265">
        <f t="shared" si="7"/>
        <v>70.400000000000006</v>
      </c>
      <c r="AF66" s="265"/>
      <c r="AG66" s="256"/>
      <c r="AH66" s="265">
        <v>66.099999999999994</v>
      </c>
      <c r="AI66" s="520"/>
      <c r="AJ66" s="253"/>
      <c r="AK66" s="1214">
        <f t="shared" si="4"/>
        <v>4.3</v>
      </c>
      <c r="AL66" s="1214"/>
      <c r="AM66" s="3240">
        <f t="shared" si="8"/>
        <v>6.5000000000000002E-2</v>
      </c>
      <c r="AN66" s="1735"/>
    </row>
    <row r="67" spans="1:40" ht="15" customHeight="1">
      <c r="A67" s="357"/>
      <c r="B67" s="1979" t="s">
        <v>1449</v>
      </c>
      <c r="C67" s="227"/>
      <c r="D67" s="278">
        <v>27.1</v>
      </c>
      <c r="E67" s="265"/>
      <c r="F67" s="278">
        <v>33.700000000000003</v>
      </c>
      <c r="G67" s="265"/>
      <c r="H67" s="265">
        <f>89.3-60.8</f>
        <v>28.5</v>
      </c>
      <c r="I67" s="265"/>
      <c r="J67" s="278">
        <f>112.8-89.3</f>
        <v>23.5</v>
      </c>
      <c r="K67" s="265"/>
      <c r="L67" s="278">
        <v>7</v>
      </c>
      <c r="M67" s="265"/>
      <c r="N67" s="1245">
        <v>1.4</v>
      </c>
      <c r="O67" s="265"/>
      <c r="P67" s="1245">
        <v>-7.2</v>
      </c>
      <c r="Q67" s="265"/>
      <c r="R67" s="278"/>
      <c r="S67" s="265"/>
      <c r="T67" s="278"/>
      <c r="U67" s="265"/>
      <c r="V67" s="278"/>
      <c r="W67" s="265"/>
      <c r="X67" s="278"/>
      <c r="Y67" s="265"/>
      <c r="Z67" s="278"/>
      <c r="AA67" s="278"/>
      <c r="AB67" s="1245">
        <v>0</v>
      </c>
      <c r="AC67" s="265"/>
      <c r="AD67" s="254"/>
      <c r="AE67" s="265">
        <f t="shared" si="7"/>
        <v>114</v>
      </c>
      <c r="AF67" s="265"/>
      <c r="AG67" s="256"/>
      <c r="AH67" s="265">
        <v>6.7</v>
      </c>
      <c r="AI67" s="520"/>
      <c r="AJ67" s="253"/>
      <c r="AK67" s="1214">
        <f t="shared" si="4"/>
        <v>107.3</v>
      </c>
      <c r="AL67" s="1214"/>
      <c r="AM67" s="3257">
        <f t="shared" si="8"/>
        <v>16.015000000000001</v>
      </c>
      <c r="AN67" s="1735"/>
    </row>
    <row r="68" spans="1:40" ht="15" customHeight="1">
      <c r="A68" s="357"/>
      <c r="B68" s="1979" t="s">
        <v>1566</v>
      </c>
      <c r="C68" s="227"/>
      <c r="D68" s="278"/>
      <c r="E68" s="265"/>
      <c r="F68" s="278"/>
      <c r="G68" s="265"/>
      <c r="H68" s="265"/>
      <c r="I68" s="265"/>
      <c r="J68" s="278"/>
      <c r="K68" s="265"/>
      <c r="L68" s="278"/>
      <c r="M68" s="265"/>
      <c r="N68" s="278"/>
      <c r="O68" s="265"/>
      <c r="P68" s="278"/>
      <c r="Q68" s="265"/>
      <c r="R68" s="278"/>
      <c r="S68" s="265"/>
      <c r="T68" s="278"/>
      <c r="U68" s="265"/>
      <c r="V68" s="278"/>
      <c r="W68" s="265"/>
      <c r="X68" s="278"/>
      <c r="Y68" s="265"/>
      <c r="Z68" s="278"/>
      <c r="AA68" s="278"/>
      <c r="AB68" s="278"/>
      <c r="AC68" s="265"/>
      <c r="AD68" s="254"/>
      <c r="AE68" s="265"/>
      <c r="AF68" s="265"/>
      <c r="AG68" s="256"/>
      <c r="AH68" s="265"/>
      <c r="AI68" s="520"/>
      <c r="AJ68" s="253"/>
      <c r="AK68" s="1214"/>
      <c r="AL68" s="1214"/>
      <c r="AM68" s="3240"/>
      <c r="AN68" s="1735"/>
    </row>
    <row r="69" spans="1:40" ht="15" customHeight="1">
      <c r="A69" s="357"/>
      <c r="B69" s="1979" t="s">
        <v>1479</v>
      </c>
      <c r="C69" s="227"/>
      <c r="D69" s="278">
        <v>0.9</v>
      </c>
      <c r="E69" s="265"/>
      <c r="F69" s="278">
        <v>8.1</v>
      </c>
      <c r="G69" s="265"/>
      <c r="H69" s="265">
        <v>9.3000000000000007</v>
      </c>
      <c r="I69" s="265"/>
      <c r="J69" s="278">
        <v>9.3000000000000007</v>
      </c>
      <c r="K69" s="265"/>
      <c r="L69" s="278">
        <v>8.4</v>
      </c>
      <c r="M69" s="265"/>
      <c r="N69" s="1245">
        <v>8</v>
      </c>
      <c r="O69" s="265"/>
      <c r="P69" s="1245">
        <v>8.5</v>
      </c>
      <c r="Q69" s="265"/>
      <c r="R69" s="278"/>
      <c r="S69" s="265"/>
      <c r="T69" s="278"/>
      <c r="U69" s="265"/>
      <c r="V69" s="278"/>
      <c r="W69" s="265"/>
      <c r="X69" s="278"/>
      <c r="Y69" s="265"/>
      <c r="Z69" s="278"/>
      <c r="AA69" s="278"/>
      <c r="AB69" s="1245">
        <v>0</v>
      </c>
      <c r="AC69" s="265"/>
      <c r="AD69" s="254"/>
      <c r="AE69" s="265">
        <f t="shared" ref="AE69:AE79" si="9">ROUND(SUM(D69:AB69),1)</f>
        <v>52.5</v>
      </c>
      <c r="AF69" s="265"/>
      <c r="AG69" s="256"/>
      <c r="AH69" s="265">
        <v>53.6</v>
      </c>
      <c r="AI69" s="520"/>
      <c r="AJ69" s="253"/>
      <c r="AK69" s="1214">
        <f t="shared" si="4"/>
        <v>-1.1000000000000001</v>
      </c>
      <c r="AL69" s="1214"/>
      <c r="AM69" s="3240">
        <f t="shared" si="8"/>
        <v>-2.1000000000000001E-2</v>
      </c>
      <c r="AN69" s="1735"/>
    </row>
    <row r="70" spans="1:40" ht="15" customHeight="1">
      <c r="A70" s="357"/>
      <c r="B70" s="1979" t="s">
        <v>1480</v>
      </c>
      <c r="C70" s="227"/>
      <c r="D70" s="278">
        <v>0.2</v>
      </c>
      <c r="E70" s="265"/>
      <c r="F70" s="278">
        <v>4.3</v>
      </c>
      <c r="G70" s="265"/>
      <c r="H70" s="265">
        <v>0.2</v>
      </c>
      <c r="I70" s="265"/>
      <c r="J70" s="278">
        <v>0.1</v>
      </c>
      <c r="K70" s="265"/>
      <c r="L70" s="278">
        <v>0</v>
      </c>
      <c r="M70" s="265"/>
      <c r="N70" s="1245">
        <v>0.5</v>
      </c>
      <c r="O70" s="265"/>
      <c r="P70" s="1245">
        <v>0.3</v>
      </c>
      <c r="Q70" s="265"/>
      <c r="R70" s="278"/>
      <c r="S70" s="265"/>
      <c r="T70" s="278"/>
      <c r="U70" s="265"/>
      <c r="V70" s="278"/>
      <c r="W70" s="265"/>
      <c r="X70" s="278"/>
      <c r="Y70" s="265"/>
      <c r="Z70" s="278"/>
      <c r="AA70" s="278"/>
      <c r="AB70" s="1245">
        <v>0</v>
      </c>
      <c r="AC70" s="265"/>
      <c r="AD70" s="254"/>
      <c r="AE70" s="265">
        <f t="shared" si="9"/>
        <v>5.6</v>
      </c>
      <c r="AF70" s="265"/>
      <c r="AG70" s="256"/>
      <c r="AH70" s="265">
        <v>3.8</v>
      </c>
      <c r="AI70" s="520"/>
      <c r="AJ70" s="253"/>
      <c r="AK70" s="1214">
        <f t="shared" si="4"/>
        <v>1.8</v>
      </c>
      <c r="AL70" s="1214"/>
      <c r="AM70" s="3240">
        <f t="shared" si="8"/>
        <v>0.47399999999999998</v>
      </c>
      <c r="AN70" s="1735"/>
    </row>
    <row r="71" spans="1:40" ht="15" customHeight="1">
      <c r="A71" s="357"/>
      <c r="B71" s="1979" t="s">
        <v>1481</v>
      </c>
      <c r="C71" s="227"/>
      <c r="D71" s="278">
        <v>0.7</v>
      </c>
      <c r="E71" s="265"/>
      <c r="F71" s="278">
        <v>0.5</v>
      </c>
      <c r="G71" s="265"/>
      <c r="H71" s="265">
        <v>0.2</v>
      </c>
      <c r="I71" s="265"/>
      <c r="J71" s="278">
        <v>0.2</v>
      </c>
      <c r="K71" s="265"/>
      <c r="L71" s="278">
        <v>0.5</v>
      </c>
      <c r="M71" s="265"/>
      <c r="N71" s="1245">
        <v>0</v>
      </c>
      <c r="O71" s="265"/>
      <c r="P71" s="1245">
        <v>0.5</v>
      </c>
      <c r="Q71" s="265"/>
      <c r="R71" s="278"/>
      <c r="S71" s="265"/>
      <c r="T71" s="278"/>
      <c r="U71" s="265"/>
      <c r="V71" s="278"/>
      <c r="W71" s="265"/>
      <c r="X71" s="278"/>
      <c r="Y71" s="265"/>
      <c r="Z71" s="278"/>
      <c r="AA71" s="278"/>
      <c r="AB71" s="1245">
        <v>0</v>
      </c>
      <c r="AC71" s="265"/>
      <c r="AD71" s="254"/>
      <c r="AE71" s="265">
        <f t="shared" si="9"/>
        <v>2.6</v>
      </c>
      <c r="AF71" s="265"/>
      <c r="AG71" s="256"/>
      <c r="AH71" s="265">
        <v>4.2</v>
      </c>
      <c r="AI71" s="520"/>
      <c r="AJ71" s="253"/>
      <c r="AK71" s="1214">
        <f t="shared" si="4"/>
        <v>-1.6</v>
      </c>
      <c r="AL71" s="1214"/>
      <c r="AM71" s="3240">
        <f t="shared" si="8"/>
        <v>-0.38100000000000001</v>
      </c>
      <c r="AN71" s="1735"/>
    </row>
    <row r="72" spans="1:40" ht="15" customHeight="1">
      <c r="A72" s="357"/>
      <c r="B72" s="1979" t="s">
        <v>1482</v>
      </c>
      <c r="C72" s="227"/>
      <c r="D72" s="278">
        <v>0</v>
      </c>
      <c r="E72" s="265"/>
      <c r="F72" s="278">
        <v>0</v>
      </c>
      <c r="G72" s="265"/>
      <c r="H72" s="265">
        <v>0</v>
      </c>
      <c r="I72" s="265"/>
      <c r="J72" s="278">
        <v>0</v>
      </c>
      <c r="K72" s="265"/>
      <c r="L72" s="278">
        <v>0</v>
      </c>
      <c r="M72" s="265"/>
      <c r="N72" s="1245">
        <v>0</v>
      </c>
      <c r="O72" s="265"/>
      <c r="P72" s="1245">
        <v>0</v>
      </c>
      <c r="Q72" s="265"/>
      <c r="R72" s="278"/>
      <c r="S72" s="265"/>
      <c r="T72" s="278"/>
      <c r="U72" s="265"/>
      <c r="V72" s="278"/>
      <c r="W72" s="265"/>
      <c r="X72" s="278"/>
      <c r="Y72" s="265"/>
      <c r="Z72" s="278"/>
      <c r="AA72" s="278"/>
      <c r="AB72" s="1245">
        <v>0</v>
      </c>
      <c r="AC72" s="265"/>
      <c r="AD72" s="254"/>
      <c r="AE72" s="265">
        <f t="shared" si="9"/>
        <v>0</v>
      </c>
      <c r="AF72" s="265"/>
      <c r="AG72" s="256"/>
      <c r="AH72" s="265">
        <v>0</v>
      </c>
      <c r="AI72" s="520"/>
      <c r="AJ72" s="253"/>
      <c r="AK72" s="1214">
        <f t="shared" si="4"/>
        <v>0</v>
      </c>
      <c r="AL72" s="1214"/>
      <c r="AM72" s="3240">
        <f t="shared" si="8"/>
        <v>0</v>
      </c>
      <c r="AN72" s="1735"/>
    </row>
    <row r="73" spans="1:40" ht="15" customHeight="1">
      <c r="A73" s="357"/>
      <c r="B73" s="1979" t="s">
        <v>1483</v>
      </c>
      <c r="C73" s="227"/>
      <c r="D73" s="278">
        <v>158.6</v>
      </c>
      <c r="E73" s="265"/>
      <c r="F73" s="278">
        <v>212.4</v>
      </c>
      <c r="G73" s="265"/>
      <c r="H73" s="265">
        <f>509.1-371</f>
        <v>138.10000000000002</v>
      </c>
      <c r="I73" s="265"/>
      <c r="J73" s="278">
        <f>681.3-509.1</f>
        <v>172.19999999999993</v>
      </c>
      <c r="K73" s="265"/>
      <c r="L73" s="278">
        <v>143.30000000000001</v>
      </c>
      <c r="M73" s="265"/>
      <c r="N73" s="1245">
        <v>72</v>
      </c>
      <c r="O73" s="265"/>
      <c r="P73" s="1245">
        <v>257.7</v>
      </c>
      <c r="Q73" s="265"/>
      <c r="R73" s="278"/>
      <c r="S73" s="265"/>
      <c r="T73" s="278"/>
      <c r="U73" s="265"/>
      <c r="V73" s="278"/>
      <c r="W73" s="265"/>
      <c r="X73" s="278"/>
      <c r="Y73" s="265"/>
      <c r="Z73" s="278"/>
      <c r="AA73" s="278"/>
      <c r="AB73" s="1245">
        <v>0</v>
      </c>
      <c r="AC73" s="265"/>
      <c r="AD73" s="254"/>
      <c r="AE73" s="265">
        <f t="shared" si="9"/>
        <v>1154.3</v>
      </c>
      <c r="AF73" s="265"/>
      <c r="AG73" s="256"/>
      <c r="AH73" s="265">
        <v>1262.4000000000001</v>
      </c>
      <c r="AI73" s="520"/>
      <c r="AJ73" s="253"/>
      <c r="AK73" s="1214">
        <f t="shared" si="4"/>
        <v>-108.1</v>
      </c>
      <c r="AL73" s="1214"/>
      <c r="AM73" s="3240">
        <f t="shared" si="8"/>
        <v>-8.5999999999999993E-2</v>
      </c>
      <c r="AN73" s="1735"/>
    </row>
    <row r="74" spans="1:40" ht="15" customHeight="1">
      <c r="A74" s="357"/>
      <c r="B74" s="1979" t="s">
        <v>1484</v>
      </c>
      <c r="C74" s="227"/>
      <c r="D74" s="278">
        <v>1.1000000000000001</v>
      </c>
      <c r="E74" s="265"/>
      <c r="F74" s="278">
        <v>0</v>
      </c>
      <c r="G74" s="265"/>
      <c r="H74" s="265">
        <v>0.6</v>
      </c>
      <c r="I74" s="265"/>
      <c r="J74" s="278">
        <v>17.2</v>
      </c>
      <c r="K74" s="265"/>
      <c r="L74" s="278">
        <v>0.6</v>
      </c>
      <c r="M74" s="265"/>
      <c r="N74" s="1245">
        <v>0.7</v>
      </c>
      <c r="O74" s="265"/>
      <c r="P74" s="1245">
        <v>4</v>
      </c>
      <c r="Q74" s="265"/>
      <c r="R74" s="278"/>
      <c r="S74" s="265"/>
      <c r="T74" s="278"/>
      <c r="U74" s="265"/>
      <c r="V74" s="278"/>
      <c r="W74" s="265"/>
      <c r="X74" s="278"/>
      <c r="Y74" s="265"/>
      <c r="Z74" s="278"/>
      <c r="AA74" s="278"/>
      <c r="AB74" s="1245">
        <v>0</v>
      </c>
      <c r="AC74" s="265"/>
      <c r="AD74" s="254"/>
      <c r="AE74" s="265">
        <f t="shared" si="9"/>
        <v>24.2</v>
      </c>
      <c r="AF74" s="265"/>
      <c r="AG74" s="256"/>
      <c r="AH74" s="265">
        <v>0.3</v>
      </c>
      <c r="AI74" s="520"/>
      <c r="AJ74" s="253"/>
      <c r="AK74" s="1214">
        <f t="shared" si="4"/>
        <v>23.9</v>
      </c>
      <c r="AL74" s="1214"/>
      <c r="AM74" s="3257">
        <f t="shared" si="8"/>
        <v>79.667000000000002</v>
      </c>
      <c r="AN74" s="1735"/>
    </row>
    <row r="75" spans="1:40" ht="15" customHeight="1">
      <c r="A75" s="357"/>
      <c r="B75" s="1979" t="s">
        <v>1485</v>
      </c>
      <c r="C75" s="227"/>
      <c r="D75" s="278">
        <v>9.6</v>
      </c>
      <c r="E75" s="265"/>
      <c r="F75" s="278">
        <v>8.5</v>
      </c>
      <c r="G75" s="265"/>
      <c r="H75" s="265">
        <v>-4.5</v>
      </c>
      <c r="I75" s="265"/>
      <c r="J75" s="278">
        <v>-13.6</v>
      </c>
      <c r="K75" s="265"/>
      <c r="L75" s="278">
        <v>-13.8</v>
      </c>
      <c r="M75" s="265"/>
      <c r="N75" s="1245">
        <v>-10.6</v>
      </c>
      <c r="O75" s="265"/>
      <c r="P75" s="1245">
        <v>1.5</v>
      </c>
      <c r="Q75" s="265"/>
      <c r="R75" s="278"/>
      <c r="S75" s="265"/>
      <c r="T75" s="278"/>
      <c r="U75" s="265"/>
      <c r="V75" s="278"/>
      <c r="W75" s="265"/>
      <c r="X75" s="278"/>
      <c r="Y75" s="265"/>
      <c r="Z75" s="278"/>
      <c r="AA75" s="278"/>
      <c r="AB75" s="1245">
        <v>0</v>
      </c>
      <c r="AC75" s="265"/>
      <c r="AD75" s="254"/>
      <c r="AE75" s="265">
        <f t="shared" si="9"/>
        <v>-22.9</v>
      </c>
      <c r="AF75" s="265"/>
      <c r="AG75" s="256"/>
      <c r="AH75" s="265">
        <v>11</v>
      </c>
      <c r="AI75" s="520"/>
      <c r="AJ75" s="253"/>
      <c r="AK75" s="1214">
        <f t="shared" si="4"/>
        <v>-33.9</v>
      </c>
      <c r="AL75" s="1214"/>
      <c r="AM75" s="3257">
        <f t="shared" si="8"/>
        <v>-3.0819999999999999</v>
      </c>
      <c r="AN75" s="1735"/>
    </row>
    <row r="76" spans="1:40" ht="15" customHeight="1">
      <c r="A76" s="357"/>
      <c r="B76" s="1979" t="s">
        <v>1486</v>
      </c>
      <c r="C76" s="227"/>
      <c r="D76" s="324">
        <v>6.2</v>
      </c>
      <c r="E76" s="323"/>
      <c r="F76" s="1400">
        <v>4.5</v>
      </c>
      <c r="G76" s="323"/>
      <c r="H76" s="323">
        <v>13.5</v>
      </c>
      <c r="I76" s="323"/>
      <c r="J76" s="324">
        <f>31.3-24.2</f>
        <v>7.1000000000000014</v>
      </c>
      <c r="K76" s="323"/>
      <c r="L76" s="324">
        <v>12.2</v>
      </c>
      <c r="M76" s="265"/>
      <c r="N76" s="1245">
        <v>7.1</v>
      </c>
      <c r="O76" s="265"/>
      <c r="P76" s="1245">
        <v>2.6</v>
      </c>
      <c r="Q76" s="265"/>
      <c r="R76" s="278"/>
      <c r="S76" s="265"/>
      <c r="T76" s="278"/>
      <c r="U76" s="265"/>
      <c r="V76" s="278"/>
      <c r="W76" s="265"/>
      <c r="X76" s="278"/>
      <c r="Y76" s="265"/>
      <c r="Z76" s="278"/>
      <c r="AA76" s="278"/>
      <c r="AB76" s="1245">
        <v>0</v>
      </c>
      <c r="AC76" s="265"/>
      <c r="AD76" s="254"/>
      <c r="AE76" s="265">
        <f t="shared" si="9"/>
        <v>53.2</v>
      </c>
      <c r="AF76" s="265"/>
      <c r="AG76" s="256"/>
      <c r="AH76" s="265">
        <v>14.7</v>
      </c>
      <c r="AI76" s="520"/>
      <c r="AJ76" s="253"/>
      <c r="AK76" s="1214">
        <f t="shared" si="4"/>
        <v>38.5</v>
      </c>
      <c r="AL76" s="1214"/>
      <c r="AM76" s="3240">
        <f t="shared" si="8"/>
        <v>2.6190000000000002</v>
      </c>
      <c r="AN76" s="1735"/>
    </row>
    <row r="77" spans="1:40" ht="15" customHeight="1">
      <c r="A77" s="357"/>
      <c r="B77" s="1979" t="s">
        <v>1487</v>
      </c>
      <c r="C77" s="227"/>
      <c r="D77" s="324">
        <v>2.4</v>
      </c>
      <c r="E77" s="323"/>
      <c r="F77" s="324">
        <v>5.0999999999999996</v>
      </c>
      <c r="G77" s="323"/>
      <c r="H77" s="323">
        <v>1.6</v>
      </c>
      <c r="I77" s="323"/>
      <c r="J77" s="324">
        <v>1.9</v>
      </c>
      <c r="K77" s="323"/>
      <c r="L77" s="324">
        <v>1.8</v>
      </c>
      <c r="M77" s="265"/>
      <c r="N77" s="1245">
        <v>2.5</v>
      </c>
      <c r="O77" s="265"/>
      <c r="P77" s="1245">
        <v>1.9</v>
      </c>
      <c r="Q77" s="265"/>
      <c r="R77" s="278"/>
      <c r="S77" s="265"/>
      <c r="T77" s="278"/>
      <c r="U77" s="265"/>
      <c r="V77" s="278"/>
      <c r="W77" s="265"/>
      <c r="X77" s="278"/>
      <c r="Y77" s="265"/>
      <c r="Z77" s="278"/>
      <c r="AA77" s="278"/>
      <c r="AB77" s="1245">
        <v>0</v>
      </c>
      <c r="AC77" s="265"/>
      <c r="AD77" s="254"/>
      <c r="AE77" s="265">
        <f t="shared" si="9"/>
        <v>17.2</v>
      </c>
      <c r="AF77" s="265"/>
      <c r="AG77" s="256"/>
      <c r="AH77" s="265">
        <v>95.1</v>
      </c>
      <c r="AI77" s="520"/>
      <c r="AJ77" s="253"/>
      <c r="AK77" s="1214">
        <f t="shared" si="4"/>
        <v>-77.900000000000006</v>
      </c>
      <c r="AL77" s="1214"/>
      <c r="AM77" s="3240">
        <f t="shared" si="8"/>
        <v>-0.81899999999999995</v>
      </c>
      <c r="AN77" s="1735"/>
    </row>
    <row r="78" spans="1:40" ht="15" customHeight="1">
      <c r="A78" s="357"/>
      <c r="B78" s="1979" t="s">
        <v>1459</v>
      </c>
      <c r="C78" s="227"/>
      <c r="D78" s="324">
        <v>5.0999999999999996</v>
      </c>
      <c r="E78" s="323"/>
      <c r="F78" s="324">
        <v>-3.1</v>
      </c>
      <c r="G78" s="323"/>
      <c r="H78" s="323">
        <v>1.3</v>
      </c>
      <c r="I78" s="323"/>
      <c r="J78" s="324">
        <v>1.6</v>
      </c>
      <c r="K78" s="323"/>
      <c r="L78" s="324">
        <v>1</v>
      </c>
      <c r="M78" s="265"/>
      <c r="N78" s="1245">
        <v>2.8</v>
      </c>
      <c r="O78" s="265"/>
      <c r="P78" s="1245">
        <v>1.5</v>
      </c>
      <c r="Q78" s="265"/>
      <c r="R78" s="278"/>
      <c r="S78" s="265"/>
      <c r="T78" s="278"/>
      <c r="U78" s="265"/>
      <c r="V78" s="278"/>
      <c r="W78" s="265"/>
      <c r="X78" s="278"/>
      <c r="Y78" s="265"/>
      <c r="Z78" s="278"/>
      <c r="AA78" s="278"/>
      <c r="AB78" s="1245">
        <v>0</v>
      </c>
      <c r="AC78" s="265"/>
      <c r="AD78" s="254"/>
      <c r="AE78" s="265">
        <f t="shared" si="9"/>
        <v>10.199999999999999</v>
      </c>
      <c r="AF78" s="265"/>
      <c r="AG78" s="256"/>
      <c r="AH78" s="265">
        <v>13.2</v>
      </c>
      <c r="AI78" s="520"/>
      <c r="AJ78" s="253"/>
      <c r="AK78" s="1214">
        <f t="shared" si="4"/>
        <v>-3</v>
      </c>
      <c r="AL78" s="1214"/>
      <c r="AM78" s="3240">
        <f t="shared" si="8"/>
        <v>-0.22700000000000001</v>
      </c>
      <c r="AN78" s="1735"/>
    </row>
    <row r="79" spans="1:40" ht="15" customHeight="1">
      <c r="A79" s="357"/>
      <c r="B79" s="1979" t="s">
        <v>1460</v>
      </c>
      <c r="C79" s="227"/>
      <c r="D79" s="324">
        <v>72</v>
      </c>
      <c r="E79" s="323"/>
      <c r="F79" s="324">
        <v>72.8</v>
      </c>
      <c r="G79" s="323"/>
      <c r="H79" s="323">
        <f>256.4-144.8</f>
        <v>111.59999999999997</v>
      </c>
      <c r="I79" s="323"/>
      <c r="J79" s="324">
        <f>361.4-256.4</f>
        <v>105</v>
      </c>
      <c r="K79" s="323"/>
      <c r="L79" s="324">
        <f>583.9-361.4</f>
        <v>222.5</v>
      </c>
      <c r="M79" s="265"/>
      <c r="N79" s="1245">
        <v>424.7</v>
      </c>
      <c r="O79" s="265"/>
      <c r="P79" s="1245">
        <v>201.9</v>
      </c>
      <c r="Q79" s="265"/>
      <c r="R79" s="278"/>
      <c r="S79" s="265"/>
      <c r="T79" s="278"/>
      <c r="U79" s="265"/>
      <c r="V79" s="278"/>
      <c r="W79" s="265"/>
      <c r="X79" s="278"/>
      <c r="Y79" s="265"/>
      <c r="Z79" s="278"/>
      <c r="AA79" s="278"/>
      <c r="AB79" s="1245">
        <v>0</v>
      </c>
      <c r="AC79" s="265"/>
      <c r="AD79" s="254"/>
      <c r="AE79" s="265">
        <f t="shared" si="9"/>
        <v>1210.5</v>
      </c>
      <c r="AF79" s="265"/>
      <c r="AG79" s="256"/>
      <c r="AH79" s="265">
        <v>1133.9000000000001</v>
      </c>
      <c r="AI79" s="520"/>
      <c r="AJ79" s="253"/>
      <c r="AK79" s="1214">
        <f t="shared" si="4"/>
        <v>76.599999999999994</v>
      </c>
      <c r="AL79" s="1214"/>
      <c r="AM79" s="3240">
        <f t="shared" si="8"/>
        <v>6.8000000000000005E-2</v>
      </c>
      <c r="AN79" s="1735"/>
    </row>
    <row r="80" spans="1:40" ht="15" customHeight="1">
      <c r="A80" s="357"/>
      <c r="B80" s="594" t="s">
        <v>1685</v>
      </c>
      <c r="C80" s="227"/>
      <c r="D80" s="1327">
        <f>ROUND(SUM(D43:D79),1)</f>
        <v>1147.0999999999999</v>
      </c>
      <c r="E80" s="323"/>
      <c r="F80" s="1327">
        <f>ROUND(SUM(F43:F79),1)</f>
        <v>1225.3</v>
      </c>
      <c r="G80" s="323"/>
      <c r="H80" s="1327">
        <f>ROUND(SUM(H43:H79),1)</f>
        <v>1249.4000000000001</v>
      </c>
      <c r="I80" s="323"/>
      <c r="J80" s="1327">
        <f>ROUND(SUM(J43:J79),1)</f>
        <v>1301.3</v>
      </c>
      <c r="K80" s="323"/>
      <c r="L80" s="1327">
        <f>ROUND(SUM(L43:L79),1)</f>
        <v>1286.5</v>
      </c>
      <c r="M80" s="265"/>
      <c r="N80" s="1327">
        <f>ROUND(SUM(N43:N79),1)</f>
        <v>1696.3</v>
      </c>
      <c r="O80" s="265"/>
      <c r="P80" s="1327">
        <f>ROUND(SUM(P43:P79),1)</f>
        <v>1474.8</v>
      </c>
      <c r="Q80" s="265"/>
      <c r="R80" s="1327">
        <f>ROUND(SUM(R43:R79),1)</f>
        <v>0</v>
      </c>
      <c r="S80" s="265"/>
      <c r="T80" s="1327">
        <f>ROUND(SUM(T43:T79),1)</f>
        <v>0</v>
      </c>
      <c r="U80" s="265"/>
      <c r="V80" s="1327">
        <f>ROUND(SUM(V43:V79),1)</f>
        <v>0</v>
      </c>
      <c r="W80" s="265"/>
      <c r="X80" s="1327">
        <f>ROUND(SUM(X43:X79),1)</f>
        <v>0</v>
      </c>
      <c r="Y80" s="265"/>
      <c r="Z80" s="1327">
        <f>ROUND(SUM(Z43:Z79),1)</f>
        <v>0</v>
      </c>
      <c r="AA80" s="320"/>
      <c r="AB80" s="1327">
        <f>ROUND(SUM(AB43:AB79),1)</f>
        <v>0</v>
      </c>
      <c r="AC80" s="265"/>
      <c r="AD80" s="254"/>
      <c r="AE80" s="1327">
        <f>ROUND(SUM(AE43:AE79),1)</f>
        <v>9380.7000000000007</v>
      </c>
      <c r="AF80" s="265"/>
      <c r="AG80" s="256"/>
      <c r="AH80" s="1327">
        <f>ROUND(SUM(AH43:AH79),1)</f>
        <v>9779.2000000000007</v>
      </c>
      <c r="AI80" s="520"/>
      <c r="AJ80" s="253"/>
      <c r="AK80" s="1327">
        <f>ROUND(SUM(AK43:AK79),1)</f>
        <v>-398.5</v>
      </c>
      <c r="AL80" s="1214"/>
      <c r="AM80" s="3256">
        <f>ROUND(SUM(+AK80/AH80),3)</f>
        <v>-4.1000000000000002E-2</v>
      </c>
      <c r="AN80" s="1735"/>
    </row>
    <row r="81" spans="1:40" ht="15" customHeight="1">
      <c r="A81" s="357"/>
      <c r="B81" s="594"/>
      <c r="C81" s="227"/>
      <c r="D81" s="320"/>
      <c r="E81" s="323"/>
      <c r="F81" s="320"/>
      <c r="G81" s="323"/>
      <c r="H81" s="320"/>
      <c r="I81" s="323"/>
      <c r="J81" s="320"/>
      <c r="K81" s="323"/>
      <c r="L81" s="320"/>
      <c r="M81" s="265"/>
      <c r="N81" s="320"/>
      <c r="O81" s="265"/>
      <c r="P81" s="320"/>
      <c r="Q81" s="265"/>
      <c r="R81" s="320"/>
      <c r="S81" s="265"/>
      <c r="T81" s="320"/>
      <c r="U81" s="265"/>
      <c r="V81" s="320"/>
      <c r="W81" s="265"/>
      <c r="X81" s="320"/>
      <c r="Y81" s="265"/>
      <c r="Z81" s="320"/>
      <c r="AA81" s="320"/>
      <c r="AB81" s="320"/>
      <c r="AC81" s="265"/>
      <c r="AD81" s="254"/>
      <c r="AE81" s="320"/>
      <c r="AF81" s="265"/>
      <c r="AG81" s="256"/>
      <c r="AH81" s="320"/>
      <c r="AI81" s="520"/>
      <c r="AJ81" s="253"/>
      <c r="AK81" s="320"/>
      <c r="AL81" s="1214"/>
      <c r="AM81" s="3258"/>
      <c r="AN81" s="1735"/>
    </row>
    <row r="82" spans="1:40" ht="15" customHeight="1">
      <c r="A82" s="357"/>
      <c r="B82" s="525" t="s">
        <v>157</v>
      </c>
      <c r="C82" s="227"/>
      <c r="D82" s="703">
        <v>0</v>
      </c>
      <c r="E82" s="323"/>
      <c r="F82" s="703">
        <v>0</v>
      </c>
      <c r="G82" s="323"/>
      <c r="H82" s="703">
        <v>0</v>
      </c>
      <c r="I82" s="323"/>
      <c r="J82" s="1321">
        <v>0</v>
      </c>
      <c r="K82" s="323"/>
      <c r="L82" s="1321">
        <v>0</v>
      </c>
      <c r="M82" s="265"/>
      <c r="N82" s="377">
        <v>0</v>
      </c>
      <c r="O82" s="265"/>
      <c r="P82" s="1245">
        <v>0</v>
      </c>
      <c r="Q82" s="265"/>
      <c r="R82" s="377"/>
      <c r="S82" s="265"/>
      <c r="T82" s="278"/>
      <c r="U82" s="265"/>
      <c r="V82" s="278"/>
      <c r="W82" s="265"/>
      <c r="X82" s="278"/>
      <c r="Y82" s="265"/>
      <c r="Z82" s="377"/>
      <c r="AA82" s="377"/>
      <c r="AB82" s="1245">
        <v>0</v>
      </c>
      <c r="AC82" s="265"/>
      <c r="AD82" s="254"/>
      <c r="AE82" s="265">
        <f>ROUND(SUM(D82:AB82),1)</f>
        <v>0</v>
      </c>
      <c r="AF82" s="253"/>
      <c r="AG82" s="256"/>
      <c r="AH82" s="522">
        <v>0.2</v>
      </c>
      <c r="AI82" s="520"/>
      <c r="AJ82" s="253"/>
      <c r="AK82" s="2176">
        <f>ROUND(SUM(+AE82-AH82),1)</f>
        <v>-0.2</v>
      </c>
      <c r="AL82" s="1214"/>
      <c r="AM82" s="3249">
        <f>ROUND(IF(AH82=0,0,AK82/(AH82)),3)</f>
        <v>-1</v>
      </c>
      <c r="AN82" s="1735"/>
    </row>
    <row r="83" spans="1:40" ht="15" customHeight="1">
      <c r="A83" s="357"/>
      <c r="B83" s="227"/>
      <c r="C83" s="227"/>
      <c r="D83" s="293"/>
      <c r="E83" s="265"/>
      <c r="F83" s="293"/>
      <c r="G83" s="265"/>
      <c r="H83" s="293"/>
      <c r="I83" s="265"/>
      <c r="J83" s="293"/>
      <c r="K83" s="265"/>
      <c r="L83" s="293"/>
      <c r="M83" s="265"/>
      <c r="N83" s="293"/>
      <c r="O83" s="265"/>
      <c r="P83" s="293"/>
      <c r="Q83" s="265"/>
      <c r="R83" s="293"/>
      <c r="S83" s="265"/>
      <c r="T83" s="293"/>
      <c r="U83" s="265"/>
      <c r="V83" s="293"/>
      <c r="W83" s="265"/>
      <c r="X83" s="293"/>
      <c r="Y83" s="265"/>
      <c r="Z83" s="293"/>
      <c r="AA83" s="253"/>
      <c r="AB83" s="293"/>
      <c r="AC83" s="265"/>
      <c r="AD83" s="254"/>
      <c r="AE83" s="293"/>
      <c r="AF83" s="253"/>
      <c r="AG83" s="256"/>
      <c r="AH83" s="293"/>
      <c r="AI83" s="520"/>
      <c r="AJ83" s="253"/>
      <c r="AK83" s="3143"/>
      <c r="AL83" s="2150"/>
      <c r="AM83" s="3259"/>
      <c r="AN83" s="1735"/>
    </row>
    <row r="84" spans="1:40" ht="15" customHeight="1">
      <c r="A84" s="357"/>
      <c r="B84" s="225" t="s">
        <v>158</v>
      </c>
      <c r="C84" s="227"/>
      <c r="D84" s="2154">
        <f>ROUND(SUM(D39+D80+D82),1)</f>
        <v>1564.3</v>
      </c>
      <c r="E84" s="2154"/>
      <c r="F84" s="2154">
        <f>ROUND(SUM(F39+F80+F82),1)</f>
        <v>1586.8</v>
      </c>
      <c r="G84" s="2154"/>
      <c r="H84" s="2154">
        <f>ROUND(SUM(H39+H80+H82),1)</f>
        <v>2175.8000000000002</v>
      </c>
      <c r="I84" s="2154"/>
      <c r="J84" s="2154">
        <f>ROUND(SUM(J39+J80+J82),1)</f>
        <v>1639.1</v>
      </c>
      <c r="K84" s="2154"/>
      <c r="L84" s="2154">
        <f>ROUND(SUM(L39+L80+L82),1)</f>
        <v>1611.7</v>
      </c>
      <c r="M84" s="2154"/>
      <c r="N84" s="2154">
        <f>ROUND(SUM(N39+N80+N82),1)</f>
        <v>2377.6</v>
      </c>
      <c r="O84" s="2154"/>
      <c r="P84" s="2154">
        <f>ROUND(SUM(P39+P80+P82),1)</f>
        <v>1797.3</v>
      </c>
      <c r="Q84" s="2154"/>
      <c r="R84" s="2154">
        <f>ROUND(SUM(R39+R80+R82),1)</f>
        <v>0</v>
      </c>
      <c r="S84" s="2154"/>
      <c r="T84" s="2154">
        <f>ROUND(SUM(T39+T80+T82),1)</f>
        <v>0</v>
      </c>
      <c r="U84" s="2154"/>
      <c r="V84" s="2154">
        <f>ROUND(SUM(V39+V80+V82),1)</f>
        <v>0</v>
      </c>
      <c r="W84" s="2154"/>
      <c r="X84" s="2154">
        <f>ROUND(SUM(X39+X80+X82),1)</f>
        <v>0</v>
      </c>
      <c r="Y84" s="2154"/>
      <c r="Z84" s="2154">
        <f>ROUND(SUM(Z39+Z80+Z82),1)</f>
        <v>0</v>
      </c>
      <c r="AA84" s="2154"/>
      <c r="AB84" s="2154">
        <f>ROUND(SUM(AB39+AB80+AB82),1)</f>
        <v>0</v>
      </c>
      <c r="AC84" s="2154"/>
      <c r="AD84" s="263"/>
      <c r="AE84" s="2154">
        <f>ROUND(SUM(AE39+AE80+AE82),1)</f>
        <v>12752.6</v>
      </c>
      <c r="AF84" s="277"/>
      <c r="AG84" s="760"/>
      <c r="AH84" s="2154">
        <f>ROUND(SUM(AH39+AH80+AH82),1)</f>
        <v>13060.9</v>
      </c>
      <c r="AI84" s="527"/>
      <c r="AJ84" s="277"/>
      <c r="AK84" s="1883">
        <f>ROUND(SUM(AK39+AK80+AK82),1)</f>
        <v>-308.3</v>
      </c>
      <c r="AL84" s="529"/>
      <c r="AM84" s="3244">
        <f>ROUND(SUM((AE84-AH84)/AH84),3)</f>
        <v>-2.4E-2</v>
      </c>
      <c r="AN84" s="1735"/>
    </row>
    <row r="85" spans="1:40" ht="15" customHeight="1">
      <c r="A85" s="357"/>
      <c r="B85" s="227"/>
      <c r="C85" s="227"/>
      <c r="D85" s="293"/>
      <c r="E85" s="265"/>
      <c r="F85" s="293"/>
      <c r="G85" s="265"/>
      <c r="H85" s="293"/>
      <c r="I85" s="265"/>
      <c r="J85" s="293"/>
      <c r="K85" s="265"/>
      <c r="L85" s="293"/>
      <c r="M85" s="265"/>
      <c r="N85" s="293"/>
      <c r="O85" s="265"/>
      <c r="P85" s="293"/>
      <c r="Q85" s="265"/>
      <c r="R85" s="293"/>
      <c r="S85" s="265"/>
      <c r="T85" s="293"/>
      <c r="U85" s="265"/>
      <c r="V85" s="293"/>
      <c r="W85" s="265"/>
      <c r="X85" s="293"/>
      <c r="Y85" s="265"/>
      <c r="Z85" s="293"/>
      <c r="AA85" s="253"/>
      <c r="AB85" s="293"/>
      <c r="AC85" s="265"/>
      <c r="AD85" s="254"/>
      <c r="AE85" s="293"/>
      <c r="AF85" s="253"/>
      <c r="AG85" s="256"/>
      <c r="AH85" s="293"/>
      <c r="AI85" s="520"/>
      <c r="AJ85" s="253"/>
      <c r="AK85" s="1214"/>
      <c r="AL85" s="2150"/>
      <c r="AM85" s="3240"/>
      <c r="AN85" s="1735"/>
    </row>
    <row r="86" spans="1:40" ht="15" customHeight="1">
      <c r="A86" s="357"/>
      <c r="B86" s="380" t="s">
        <v>24</v>
      </c>
      <c r="C86" s="227"/>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54"/>
      <c r="AE86" s="265"/>
      <c r="AF86" s="253"/>
      <c r="AG86" s="256"/>
      <c r="AH86" s="265"/>
      <c r="AI86" s="520"/>
      <c r="AJ86" s="253"/>
      <c r="AK86" s="1214"/>
      <c r="AL86" s="2150"/>
      <c r="AM86" s="3240"/>
      <c r="AN86" s="1735"/>
    </row>
    <row r="87" spans="1:40" ht="12.75" customHeight="1">
      <c r="A87" s="357"/>
      <c r="B87" s="1407" t="s">
        <v>159</v>
      </c>
      <c r="C87" s="227"/>
      <c r="D87" s="278"/>
      <c r="E87" s="265"/>
      <c r="F87" s="278"/>
      <c r="G87" s="265"/>
      <c r="H87" s="265"/>
      <c r="I87" s="265"/>
      <c r="J87" s="278"/>
      <c r="K87" s="265"/>
      <c r="L87" s="278"/>
      <c r="M87" s="265"/>
      <c r="N87" s="278"/>
      <c r="O87" s="265"/>
      <c r="P87" s="278"/>
      <c r="Q87" s="265"/>
      <c r="R87" s="278"/>
      <c r="S87" s="265"/>
      <c r="T87" s="278"/>
      <c r="U87" s="265"/>
      <c r="V87" s="265"/>
      <c r="W87" s="265"/>
      <c r="X87" s="278"/>
      <c r="Y87" s="265"/>
      <c r="Z87" s="265"/>
      <c r="AA87" s="265"/>
      <c r="AB87" s="265"/>
      <c r="AC87" s="265"/>
      <c r="AD87" s="254"/>
      <c r="AE87" s="377"/>
      <c r="AF87" s="265"/>
      <c r="AG87" s="256"/>
      <c r="AH87" s="377"/>
      <c r="AI87" s="520"/>
      <c r="AJ87" s="253"/>
      <c r="AK87" s="1214"/>
      <c r="AL87" s="2150"/>
      <c r="AM87" s="3260"/>
      <c r="AN87" s="1735"/>
    </row>
    <row r="88" spans="1:40" ht="15" customHeight="1">
      <c r="A88" s="357"/>
      <c r="B88" s="386" t="s">
        <v>26</v>
      </c>
      <c r="C88" s="227"/>
      <c r="D88" s="278">
        <v>0.3</v>
      </c>
      <c r="E88" s="265"/>
      <c r="F88" s="278">
        <v>0.4</v>
      </c>
      <c r="G88" s="265"/>
      <c r="H88" s="323">
        <v>737.1</v>
      </c>
      <c r="I88" s="265"/>
      <c r="J88" s="1372">
        <v>0.4</v>
      </c>
      <c r="K88" s="265"/>
      <c r="L88" s="2931">
        <v>-0.4</v>
      </c>
      <c r="M88" s="265"/>
      <c r="N88" s="1245">
        <v>2257.1999999999998</v>
      </c>
      <c r="O88" s="265"/>
      <c r="P88" s="1245">
        <v>147.6</v>
      </c>
      <c r="Q88" s="265"/>
      <c r="R88" s="278"/>
      <c r="S88" s="265"/>
      <c r="T88" s="278"/>
      <c r="U88" s="265"/>
      <c r="V88" s="265"/>
      <c r="W88" s="265"/>
      <c r="X88" s="278"/>
      <c r="Y88" s="265"/>
      <c r="Z88" s="265"/>
      <c r="AA88" s="265"/>
      <c r="AB88" s="1245">
        <v>0</v>
      </c>
      <c r="AC88" s="265"/>
      <c r="AD88" s="254"/>
      <c r="AE88" s="265">
        <f>ROUND(SUM(D88:AB88),1)</f>
        <v>3142.6</v>
      </c>
      <c r="AF88" s="265"/>
      <c r="AG88" s="256"/>
      <c r="AH88" s="1321">
        <v>3096.5</v>
      </c>
      <c r="AI88" s="520"/>
      <c r="AJ88" s="253"/>
      <c r="AK88" s="1214">
        <f>ROUND(SUM(+AE88-AH88),1)</f>
        <v>46.1</v>
      </c>
      <c r="AL88" s="1214"/>
      <c r="AM88" s="3240">
        <f t="shared" ref="AM88:AM97" si="10">ROUND(IF(AH88=0,0,AK88/(AH88)),3)</f>
        <v>1.4999999999999999E-2</v>
      </c>
      <c r="AN88" s="1735"/>
    </row>
    <row r="89" spans="1:40" ht="15" customHeight="1">
      <c r="A89" s="357"/>
      <c r="B89" s="386" t="s">
        <v>27</v>
      </c>
      <c r="C89" s="227"/>
      <c r="D89" s="278">
        <v>0.1</v>
      </c>
      <c r="E89" s="265"/>
      <c r="F89" s="278">
        <v>0</v>
      </c>
      <c r="G89" s="265"/>
      <c r="H89" s="377">
        <v>0.5</v>
      </c>
      <c r="I89" s="265"/>
      <c r="J89" s="278">
        <v>0.2</v>
      </c>
      <c r="K89" s="265"/>
      <c r="L89" s="1296">
        <v>0</v>
      </c>
      <c r="M89" s="265"/>
      <c r="N89" s="1245">
        <v>0.8</v>
      </c>
      <c r="O89" s="265"/>
      <c r="P89" s="1245">
        <v>0</v>
      </c>
      <c r="Q89" s="265"/>
      <c r="R89" s="278"/>
      <c r="S89" s="265"/>
      <c r="T89" s="377"/>
      <c r="U89" s="265"/>
      <c r="V89" s="265"/>
      <c r="W89" s="265"/>
      <c r="X89" s="278"/>
      <c r="Y89" s="265"/>
      <c r="Z89" s="265"/>
      <c r="AA89" s="265"/>
      <c r="AB89" s="1245">
        <v>0</v>
      </c>
      <c r="AC89" s="265"/>
      <c r="AD89" s="254"/>
      <c r="AE89" s="265">
        <f>ROUND(SUM(D89:AB89),1)</f>
        <v>1.6</v>
      </c>
      <c r="AF89" s="265"/>
      <c r="AG89" s="256"/>
      <c r="AH89" s="1321">
        <v>1.3</v>
      </c>
      <c r="AI89" s="520"/>
      <c r="AJ89" s="253"/>
      <c r="AK89" s="1214">
        <f>ROUND(SUM(+AE89-AH89),1)</f>
        <v>0.3</v>
      </c>
      <c r="AL89" s="1214"/>
      <c r="AM89" s="3240">
        <f t="shared" si="10"/>
        <v>0.23100000000000001</v>
      </c>
      <c r="AN89" s="1735"/>
    </row>
    <row r="90" spans="1:40" ht="15" customHeight="1">
      <c r="A90" s="357"/>
      <c r="B90" s="386" t="s">
        <v>28</v>
      </c>
      <c r="C90" s="227"/>
      <c r="D90" s="278">
        <v>12.1</v>
      </c>
      <c r="E90" s="265"/>
      <c r="F90" s="278">
        <v>6.8</v>
      </c>
      <c r="G90" s="265"/>
      <c r="H90" s="323">
        <v>9.8000000000000007</v>
      </c>
      <c r="I90" s="265"/>
      <c r="J90" s="278">
        <v>24.3</v>
      </c>
      <c r="K90" s="265"/>
      <c r="L90" s="2931">
        <v>47.6</v>
      </c>
      <c r="M90" s="265"/>
      <c r="N90" s="1245">
        <v>18</v>
      </c>
      <c r="O90" s="265"/>
      <c r="P90" s="1245">
        <v>11.1</v>
      </c>
      <c r="Q90" s="265"/>
      <c r="R90" s="278"/>
      <c r="S90" s="265"/>
      <c r="T90" s="278"/>
      <c r="U90" s="265"/>
      <c r="V90" s="265"/>
      <c r="W90" s="265"/>
      <c r="X90" s="278"/>
      <c r="Y90" s="265"/>
      <c r="Z90" s="265"/>
      <c r="AA90" s="265"/>
      <c r="AB90" s="1245">
        <v>0</v>
      </c>
      <c r="AC90" s="265"/>
      <c r="AD90" s="254"/>
      <c r="AE90" s="265">
        <f>ROUND(SUM(D90:AB90),1)</f>
        <v>129.69999999999999</v>
      </c>
      <c r="AF90" s="265"/>
      <c r="AG90" s="256"/>
      <c r="AH90" s="1321">
        <v>212.4</v>
      </c>
      <c r="AI90" s="520"/>
      <c r="AJ90" s="253"/>
      <c r="AK90" s="1214">
        <f>ROUND(SUM(+AE90-AH90),1)</f>
        <v>-82.7</v>
      </c>
      <c r="AL90" s="1214"/>
      <c r="AM90" s="3240">
        <f t="shared" si="10"/>
        <v>-0.38900000000000001</v>
      </c>
      <c r="AN90" s="1735"/>
    </row>
    <row r="91" spans="1:40" ht="15" customHeight="1">
      <c r="A91" s="357"/>
      <c r="B91" s="386" t="s">
        <v>29</v>
      </c>
      <c r="C91" s="227"/>
      <c r="D91" s="278"/>
      <c r="E91" s="265"/>
      <c r="F91" s="278"/>
      <c r="G91" s="265"/>
      <c r="H91" s="323"/>
      <c r="I91" s="265"/>
      <c r="J91" s="278"/>
      <c r="K91" s="265"/>
      <c r="L91" s="2931"/>
      <c r="M91" s="265"/>
      <c r="N91" s="278"/>
      <c r="O91" s="265"/>
      <c r="P91" s="278"/>
      <c r="Q91" s="265"/>
      <c r="R91" s="278"/>
      <c r="S91" s="265"/>
      <c r="T91" s="278"/>
      <c r="U91" s="265"/>
      <c r="V91" s="265"/>
      <c r="W91" s="265"/>
      <c r="X91" s="278"/>
      <c r="Y91" s="265"/>
      <c r="Z91" s="265"/>
      <c r="AA91" s="265"/>
      <c r="AB91" s="265"/>
      <c r="AC91" s="265"/>
      <c r="AD91" s="254"/>
      <c r="AE91" s="265"/>
      <c r="AF91" s="265"/>
      <c r="AG91" s="256"/>
      <c r="AH91" s="323"/>
      <c r="AI91" s="520"/>
      <c r="AJ91" s="253"/>
      <c r="AK91" s="1214"/>
      <c r="AL91" s="1857"/>
      <c r="AM91" s="3240"/>
      <c r="AN91" s="1735"/>
    </row>
    <row r="92" spans="1:40" ht="15" customHeight="1">
      <c r="A92" s="357"/>
      <c r="B92" s="1864" t="s">
        <v>30</v>
      </c>
      <c r="C92" s="227"/>
      <c r="D92" s="278">
        <v>272.60000000000002</v>
      </c>
      <c r="E92" s="265"/>
      <c r="F92" s="278">
        <v>525</v>
      </c>
      <c r="G92" s="265"/>
      <c r="H92" s="323">
        <v>280</v>
      </c>
      <c r="I92" s="265"/>
      <c r="J92" s="278">
        <v>512.4</v>
      </c>
      <c r="K92" s="265"/>
      <c r="L92" s="2931">
        <v>413</v>
      </c>
      <c r="M92" s="265"/>
      <c r="N92" s="1245">
        <v>387.3</v>
      </c>
      <c r="O92" s="265"/>
      <c r="P92" s="1245">
        <v>580.4</v>
      </c>
      <c r="Q92" s="265"/>
      <c r="R92" s="278"/>
      <c r="S92" s="265"/>
      <c r="T92" s="278"/>
      <c r="U92" s="265"/>
      <c r="V92" s="265"/>
      <c r="W92" s="265"/>
      <c r="X92" s="278"/>
      <c r="Y92" s="265"/>
      <c r="Z92" s="265"/>
      <c r="AA92" s="265"/>
      <c r="AB92" s="1245">
        <v>0</v>
      </c>
      <c r="AC92" s="265"/>
      <c r="AD92" s="254"/>
      <c r="AE92" s="265">
        <f t="shared" ref="AE92:AE97" si="11">ROUND(SUM(D92:AB92),1)</f>
        <v>2970.7</v>
      </c>
      <c r="AF92" s="265"/>
      <c r="AG92" s="256"/>
      <c r="AH92" s="323">
        <v>2883</v>
      </c>
      <c r="AI92" s="520"/>
      <c r="AJ92" s="253"/>
      <c r="AK92" s="1214">
        <f t="shared" ref="AK92:AK97" si="12">ROUND(SUM(+AE92-AH92),1)</f>
        <v>87.7</v>
      </c>
      <c r="AL92" s="1214"/>
      <c r="AM92" s="3240">
        <f t="shared" si="10"/>
        <v>0.03</v>
      </c>
      <c r="AN92" s="1735"/>
    </row>
    <row r="93" spans="1:40" ht="15" customHeight="1">
      <c r="A93" s="357"/>
      <c r="B93" s="386" t="s">
        <v>31</v>
      </c>
      <c r="C93" s="227"/>
      <c r="D93" s="278">
        <v>76.099999999999994</v>
      </c>
      <c r="E93" s="265"/>
      <c r="F93" s="278">
        <v>130.69999999999999</v>
      </c>
      <c r="G93" s="265"/>
      <c r="H93" s="323">
        <v>227.2</v>
      </c>
      <c r="I93" s="265"/>
      <c r="J93" s="278">
        <v>269.60000000000002</v>
      </c>
      <c r="K93" s="265"/>
      <c r="L93" s="2931">
        <v>165.7</v>
      </c>
      <c r="M93" s="265"/>
      <c r="N93" s="1245">
        <v>208.7</v>
      </c>
      <c r="O93" s="265"/>
      <c r="P93" s="1245">
        <v>252.8</v>
      </c>
      <c r="Q93" s="265"/>
      <c r="R93" s="278"/>
      <c r="S93" s="265"/>
      <c r="T93" s="278"/>
      <c r="U93" s="265"/>
      <c r="V93" s="265"/>
      <c r="W93" s="265"/>
      <c r="X93" s="278"/>
      <c r="Y93" s="265"/>
      <c r="Z93" s="265"/>
      <c r="AA93" s="265"/>
      <c r="AB93" s="1245">
        <v>0</v>
      </c>
      <c r="AC93" s="265"/>
      <c r="AD93" s="254"/>
      <c r="AE93" s="265">
        <f t="shared" si="11"/>
        <v>1330.8</v>
      </c>
      <c r="AF93" s="265"/>
      <c r="AG93" s="256"/>
      <c r="AH93" s="323">
        <v>1393.7</v>
      </c>
      <c r="AI93" s="520"/>
      <c r="AJ93" s="253"/>
      <c r="AK93" s="1214">
        <f t="shared" si="12"/>
        <v>-62.9</v>
      </c>
      <c r="AL93" s="1214"/>
      <c r="AM93" s="3240">
        <f t="shared" si="10"/>
        <v>-4.4999999999999998E-2</v>
      </c>
      <c r="AN93" s="1735"/>
    </row>
    <row r="94" spans="1:40" ht="15" customHeight="1">
      <c r="A94" s="357"/>
      <c r="B94" s="386" t="s">
        <v>32</v>
      </c>
      <c r="C94" s="227"/>
      <c r="D94" s="278">
        <v>5.2</v>
      </c>
      <c r="E94" s="265"/>
      <c r="F94" s="278">
        <v>13.1</v>
      </c>
      <c r="G94" s="265"/>
      <c r="H94" s="323">
        <v>10.199999999999999</v>
      </c>
      <c r="I94" s="265"/>
      <c r="J94" s="265">
        <v>12.3</v>
      </c>
      <c r="K94" s="265"/>
      <c r="L94" s="2931">
        <v>12.5</v>
      </c>
      <c r="M94" s="265"/>
      <c r="N94" s="1245">
        <v>12.3</v>
      </c>
      <c r="O94" s="265"/>
      <c r="P94" s="1245">
        <v>6.8</v>
      </c>
      <c r="Q94" s="265"/>
      <c r="R94" s="278"/>
      <c r="S94" s="265"/>
      <c r="T94" s="278"/>
      <c r="U94" s="265"/>
      <c r="V94" s="265"/>
      <c r="W94" s="265"/>
      <c r="X94" s="278"/>
      <c r="Y94" s="265"/>
      <c r="Z94" s="265"/>
      <c r="AA94" s="265"/>
      <c r="AB94" s="1245">
        <v>0</v>
      </c>
      <c r="AC94" s="265"/>
      <c r="AD94" s="254"/>
      <c r="AE94" s="265">
        <f t="shared" si="11"/>
        <v>72.400000000000006</v>
      </c>
      <c r="AF94" s="265"/>
      <c r="AG94" s="256"/>
      <c r="AH94" s="323">
        <v>49</v>
      </c>
      <c r="AI94" s="520"/>
      <c r="AJ94" s="253"/>
      <c r="AK94" s="1214">
        <f t="shared" si="12"/>
        <v>23.4</v>
      </c>
      <c r="AL94" s="1214"/>
      <c r="AM94" s="3240">
        <f t="shared" si="10"/>
        <v>0.47799999999999998</v>
      </c>
      <c r="AN94" s="1735"/>
    </row>
    <row r="95" spans="1:40" ht="15" customHeight="1">
      <c r="A95" s="357"/>
      <c r="B95" s="386" t="s">
        <v>33</v>
      </c>
      <c r="C95" s="227"/>
      <c r="D95" s="278">
        <v>0.4</v>
      </c>
      <c r="E95" s="265"/>
      <c r="F95" s="278">
        <v>0.6</v>
      </c>
      <c r="G95" s="265"/>
      <c r="H95" s="323">
        <v>0.2</v>
      </c>
      <c r="I95" s="265"/>
      <c r="J95" s="265">
        <v>0.2</v>
      </c>
      <c r="K95" s="265"/>
      <c r="L95" s="1296">
        <v>0</v>
      </c>
      <c r="M95" s="265"/>
      <c r="N95" s="1245">
        <v>0.8</v>
      </c>
      <c r="O95" s="265"/>
      <c r="P95" s="1245">
        <v>0.7</v>
      </c>
      <c r="Q95" s="265"/>
      <c r="R95" s="278"/>
      <c r="S95" s="265"/>
      <c r="T95" s="278"/>
      <c r="U95" s="265"/>
      <c r="V95" s="265"/>
      <c r="W95" s="265"/>
      <c r="X95" s="278"/>
      <c r="Y95" s="265"/>
      <c r="Z95" s="265"/>
      <c r="AA95" s="265"/>
      <c r="AB95" s="1245">
        <v>0</v>
      </c>
      <c r="AC95" s="265"/>
      <c r="AD95" s="254"/>
      <c r="AE95" s="265">
        <f t="shared" si="11"/>
        <v>2.9</v>
      </c>
      <c r="AF95" s="265"/>
      <c r="AG95" s="256"/>
      <c r="AH95" s="323">
        <v>2.9</v>
      </c>
      <c r="AI95" s="520"/>
      <c r="AJ95" s="253"/>
      <c r="AK95" s="1214">
        <f t="shared" si="12"/>
        <v>0</v>
      </c>
      <c r="AL95" s="1214"/>
      <c r="AM95" s="3240">
        <f t="shared" si="10"/>
        <v>0</v>
      </c>
      <c r="AN95" s="1735"/>
    </row>
    <row r="96" spans="1:40" ht="15" customHeight="1">
      <c r="A96" s="357"/>
      <c r="B96" s="386" t="s">
        <v>34</v>
      </c>
      <c r="C96" s="227"/>
      <c r="D96" s="278">
        <v>0.5</v>
      </c>
      <c r="E96" s="265"/>
      <c r="F96" s="278">
        <v>2</v>
      </c>
      <c r="G96" s="265"/>
      <c r="H96" s="323">
        <v>3.5</v>
      </c>
      <c r="I96" s="265"/>
      <c r="J96" s="522">
        <v>199.6</v>
      </c>
      <c r="K96" s="265"/>
      <c r="L96" s="2931">
        <v>1.8</v>
      </c>
      <c r="M96" s="270"/>
      <c r="N96" s="1245">
        <v>0.4</v>
      </c>
      <c r="O96" s="265"/>
      <c r="P96" s="1245">
        <v>3.1</v>
      </c>
      <c r="Q96" s="265"/>
      <c r="R96" s="278"/>
      <c r="S96" s="265"/>
      <c r="T96" s="278"/>
      <c r="U96" s="265"/>
      <c r="V96" s="265"/>
      <c r="W96" s="377"/>
      <c r="X96" s="278"/>
      <c r="Y96" s="265"/>
      <c r="Z96" s="265"/>
      <c r="AA96" s="265"/>
      <c r="AB96" s="1245">
        <v>0</v>
      </c>
      <c r="AC96" s="265"/>
      <c r="AD96" s="254"/>
      <c r="AE96" s="265">
        <f t="shared" si="11"/>
        <v>210.9</v>
      </c>
      <c r="AF96" s="265"/>
      <c r="AG96" s="256"/>
      <c r="AH96" s="1321">
        <v>235.9</v>
      </c>
      <c r="AI96" s="520"/>
      <c r="AJ96" s="253"/>
      <c r="AK96" s="1214">
        <f t="shared" si="12"/>
        <v>-25</v>
      </c>
      <c r="AL96" s="1214"/>
      <c r="AM96" s="3240">
        <f t="shared" si="10"/>
        <v>-0.106</v>
      </c>
      <c r="AN96" s="1735"/>
    </row>
    <row r="97" spans="1:40" ht="15" customHeight="1">
      <c r="A97" s="357"/>
      <c r="B97" s="386" t="s">
        <v>35</v>
      </c>
      <c r="C97" s="227"/>
      <c r="D97" s="278">
        <v>155.19999999999999</v>
      </c>
      <c r="E97" s="265"/>
      <c r="F97" s="278">
        <v>542.20000000000005</v>
      </c>
      <c r="G97" s="265"/>
      <c r="H97" s="323">
        <v>337.9</v>
      </c>
      <c r="I97" s="265"/>
      <c r="J97" s="278">
        <v>352.3</v>
      </c>
      <c r="K97" s="265"/>
      <c r="L97" s="2931">
        <v>453.8</v>
      </c>
      <c r="M97" s="265"/>
      <c r="N97" s="1245">
        <v>402.5</v>
      </c>
      <c r="O97" s="265"/>
      <c r="P97" s="1245">
        <v>333.6</v>
      </c>
      <c r="Q97" s="265"/>
      <c r="R97" s="278"/>
      <c r="S97" s="265"/>
      <c r="T97" s="278"/>
      <c r="U97" s="265"/>
      <c r="V97" s="265"/>
      <c r="W97" s="265"/>
      <c r="X97" s="278"/>
      <c r="Y97" s="265"/>
      <c r="Z97" s="265"/>
      <c r="AA97" s="265"/>
      <c r="AB97" s="1245">
        <v>0</v>
      </c>
      <c r="AC97" s="265"/>
      <c r="AD97" s="254"/>
      <c r="AE97" s="265">
        <f t="shared" si="11"/>
        <v>2577.5</v>
      </c>
      <c r="AF97" s="253"/>
      <c r="AG97" s="256"/>
      <c r="AH97" s="531">
        <v>2578.4</v>
      </c>
      <c r="AI97" s="520"/>
      <c r="AJ97" s="253"/>
      <c r="AK97" s="1214">
        <f t="shared" si="12"/>
        <v>-0.9</v>
      </c>
      <c r="AL97" s="1214"/>
      <c r="AM97" s="3240">
        <f t="shared" si="10"/>
        <v>0</v>
      </c>
      <c r="AN97" s="1735"/>
    </row>
    <row r="98" spans="1:40" ht="15" customHeight="1">
      <c r="A98" s="357"/>
      <c r="B98" s="225" t="s">
        <v>1686</v>
      </c>
      <c r="C98" s="227"/>
      <c r="D98" s="550">
        <f>ROUND(SUM(D88:D97),1)</f>
        <v>522.5</v>
      </c>
      <c r="E98" s="2154"/>
      <c r="F98" s="550">
        <f>ROUND(SUM(F88:F97),1)</f>
        <v>1220.8</v>
      </c>
      <c r="G98" s="2154"/>
      <c r="H98" s="550">
        <f>ROUND(SUM(H88:H97),1)</f>
        <v>1606.4</v>
      </c>
      <c r="I98" s="2154"/>
      <c r="J98" s="550">
        <f>ROUND(SUM(J88:J97),1)</f>
        <v>1371.3</v>
      </c>
      <c r="K98" s="2154"/>
      <c r="L98" s="550">
        <f>ROUND(SUM(L88:L97),1)</f>
        <v>1094</v>
      </c>
      <c r="M98" s="2154"/>
      <c r="N98" s="550">
        <f>ROUND(SUM(N88:N97),1)</f>
        <v>3288</v>
      </c>
      <c r="O98" s="2154"/>
      <c r="P98" s="550">
        <f>ROUND(SUM(P88:P97),1)</f>
        <v>1336.1</v>
      </c>
      <c r="Q98" s="2154"/>
      <c r="R98" s="550">
        <f>ROUND(SUM(R88:R97),1)</f>
        <v>0</v>
      </c>
      <c r="S98" s="2154"/>
      <c r="T98" s="550">
        <f>ROUND(SUM(T88:T97),1)</f>
        <v>0</v>
      </c>
      <c r="U98" s="2154"/>
      <c r="V98" s="550">
        <f>ROUND(SUM(V88:V97),1)</f>
        <v>0</v>
      </c>
      <c r="W98" s="2154"/>
      <c r="X98" s="550">
        <f>ROUND(SUM(X88:X97),1)</f>
        <v>0</v>
      </c>
      <c r="Y98" s="2154"/>
      <c r="Z98" s="550">
        <f>ROUND(SUM(Z88:Z97),1)</f>
        <v>0</v>
      </c>
      <c r="AA98" s="277"/>
      <c r="AB98" s="550">
        <f>ROUND(SUM(AB88:AB97),1)</f>
        <v>0</v>
      </c>
      <c r="AC98" s="2154"/>
      <c r="AD98" s="263"/>
      <c r="AE98" s="260">
        <f>ROUND(SUM(AE88:AE97),1)</f>
        <v>10439.1</v>
      </c>
      <c r="AF98" s="277"/>
      <c r="AG98" s="760"/>
      <c r="AH98" s="532">
        <f>ROUND(SUM(AH88:AH97),1)</f>
        <v>10453.1</v>
      </c>
      <c r="AI98" s="527"/>
      <c r="AJ98" s="277"/>
      <c r="AK98" s="260">
        <f>ROUND(SUM(AE98-AH98),1)</f>
        <v>-14</v>
      </c>
      <c r="AL98" s="373"/>
      <c r="AM98" s="3243">
        <f>ROUND(SUM((AE98-AH98)/AH98),3)</f>
        <v>-1E-3</v>
      </c>
      <c r="AN98" s="1735"/>
    </row>
    <row r="99" spans="1:40" ht="15" customHeight="1">
      <c r="A99" s="357"/>
      <c r="B99" s="227" t="s">
        <v>178</v>
      </c>
      <c r="C99" s="227"/>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54"/>
      <c r="AE99" s="265"/>
      <c r="AF99" s="265"/>
      <c r="AG99" s="256"/>
      <c r="AH99" s="323"/>
      <c r="AI99" s="520"/>
      <c r="AJ99" s="253"/>
      <c r="AK99" s="1214"/>
      <c r="AL99" s="2150"/>
      <c r="AM99" s="3240"/>
      <c r="AN99" s="1735"/>
    </row>
    <row r="100" spans="1:40" ht="15" customHeight="1">
      <c r="A100" s="357"/>
      <c r="B100" s="227" t="s">
        <v>161</v>
      </c>
      <c r="C100" s="227"/>
      <c r="D100" s="278">
        <v>556.79999999999995</v>
      </c>
      <c r="E100" s="265"/>
      <c r="F100" s="278">
        <v>607</v>
      </c>
      <c r="G100" s="265"/>
      <c r="H100" s="265">
        <v>505.9</v>
      </c>
      <c r="I100" s="265"/>
      <c r="J100" s="278">
        <v>669.6</v>
      </c>
      <c r="K100" s="265"/>
      <c r="L100" s="2931">
        <v>506.5</v>
      </c>
      <c r="M100" s="265"/>
      <c r="N100" s="1245">
        <v>519.9</v>
      </c>
      <c r="O100" s="265"/>
      <c r="P100" s="1245">
        <v>602.20000000000005</v>
      </c>
      <c r="Q100" s="265"/>
      <c r="R100" s="278"/>
      <c r="S100" s="265"/>
      <c r="T100" s="278"/>
      <c r="U100" s="265"/>
      <c r="V100" s="265"/>
      <c r="W100" s="265"/>
      <c r="X100" s="278"/>
      <c r="Y100" s="265"/>
      <c r="Z100" s="265"/>
      <c r="AA100" s="265"/>
      <c r="AB100" s="1245">
        <v>0</v>
      </c>
      <c r="AC100" s="265"/>
      <c r="AD100" s="254"/>
      <c r="AE100" s="265">
        <f>ROUND(SUM(D100:AB100),1)</f>
        <v>3967.9</v>
      </c>
      <c r="AF100" s="2399"/>
      <c r="AG100" s="256"/>
      <c r="AH100" s="265">
        <v>3980.5</v>
      </c>
      <c r="AI100" s="520"/>
      <c r="AJ100" s="253"/>
      <c r="AK100" s="1214">
        <f>ROUND(SUM(+AE100-AH100),1)</f>
        <v>-12.6</v>
      </c>
      <c r="AL100" s="1214"/>
      <c r="AM100" s="3240">
        <f>ROUND(IF(AH100=0,0,AK100/(AH100)),3)</f>
        <v>-3.0000000000000001E-3</v>
      </c>
      <c r="AN100" s="1735"/>
    </row>
    <row r="101" spans="1:40" ht="15" customHeight="1">
      <c r="A101" s="357"/>
      <c r="B101" s="227" t="s">
        <v>179</v>
      </c>
      <c r="C101" s="227"/>
      <c r="D101" s="278">
        <v>270.7</v>
      </c>
      <c r="E101" s="265"/>
      <c r="F101" s="278">
        <v>246.7</v>
      </c>
      <c r="G101" s="265"/>
      <c r="H101" s="265">
        <v>329.3</v>
      </c>
      <c r="I101" s="265"/>
      <c r="J101" s="278">
        <v>251.8</v>
      </c>
      <c r="K101" s="265"/>
      <c r="L101" s="2931">
        <v>284.89999999999998</v>
      </c>
      <c r="M101" s="265"/>
      <c r="N101" s="1245">
        <v>313.7</v>
      </c>
      <c r="O101" s="265"/>
      <c r="P101" s="1245">
        <v>348.7</v>
      </c>
      <c r="Q101" s="265"/>
      <c r="R101" s="278"/>
      <c r="S101" s="265"/>
      <c r="T101" s="278"/>
      <c r="U101" s="265"/>
      <c r="V101" s="265"/>
      <c r="W101" s="265"/>
      <c r="X101" s="278"/>
      <c r="Y101" s="265"/>
      <c r="Z101" s="265"/>
      <c r="AA101" s="265"/>
      <c r="AB101" s="1245">
        <v>0</v>
      </c>
      <c r="AC101" s="265"/>
      <c r="AD101" s="254"/>
      <c r="AE101" s="265">
        <f>ROUND(SUM(D101:AB101),1)</f>
        <v>2045.8</v>
      </c>
      <c r="AF101" s="2399"/>
      <c r="AG101" s="256"/>
      <c r="AH101" s="265">
        <v>2114.6</v>
      </c>
      <c r="AI101" s="520"/>
      <c r="AJ101" s="253"/>
      <c r="AK101" s="1214">
        <f>ROUND(SUM(+AE101-AH101),1)</f>
        <v>-68.8</v>
      </c>
      <c r="AL101" s="1214"/>
      <c r="AM101" s="3240">
        <f>ROUND(IF(AH101=0,0,AK101/(AH101)),3)</f>
        <v>-3.3000000000000002E-2</v>
      </c>
      <c r="AN101" s="1735"/>
    </row>
    <row r="102" spans="1:40" ht="15" customHeight="1">
      <c r="A102" s="357"/>
      <c r="B102" s="227" t="s">
        <v>180</v>
      </c>
      <c r="C102" s="227"/>
      <c r="D102" s="278">
        <v>174.9</v>
      </c>
      <c r="E102" s="265"/>
      <c r="F102" s="278">
        <v>188.6</v>
      </c>
      <c r="G102" s="265"/>
      <c r="H102" s="265">
        <v>111.6</v>
      </c>
      <c r="I102" s="265"/>
      <c r="J102" s="278">
        <v>33.1</v>
      </c>
      <c r="K102" s="265"/>
      <c r="L102" s="2931">
        <v>401.1</v>
      </c>
      <c r="M102" s="265"/>
      <c r="N102" s="1245">
        <v>39.5</v>
      </c>
      <c r="O102" s="265"/>
      <c r="P102" s="1245">
        <v>71.7</v>
      </c>
      <c r="Q102" s="265"/>
      <c r="R102" s="278"/>
      <c r="S102" s="265"/>
      <c r="T102" s="278"/>
      <c r="U102" s="265"/>
      <c r="V102" s="265"/>
      <c r="W102" s="265"/>
      <c r="X102" s="278"/>
      <c r="Y102" s="265"/>
      <c r="Z102" s="265"/>
      <c r="AA102" s="265"/>
      <c r="AB102" s="1245">
        <v>0</v>
      </c>
      <c r="AC102" s="265"/>
      <c r="AD102" s="254"/>
      <c r="AE102" s="265">
        <f>ROUND(SUM(D102:AB102),1)</f>
        <v>1020.5</v>
      </c>
      <c r="AF102" s="2399"/>
      <c r="AG102" s="256"/>
      <c r="AH102" s="265">
        <v>975.7</v>
      </c>
      <c r="AI102" s="520"/>
      <c r="AJ102" s="253"/>
      <c r="AK102" s="1214">
        <f>ROUND(SUM(+AE102-AH102),1)</f>
        <v>44.8</v>
      </c>
      <c r="AL102" s="1214"/>
      <c r="AM102" s="3240">
        <f>ROUND(IF(AH102=0,0,AK102/(AH102)),3)</f>
        <v>4.5999999999999999E-2</v>
      </c>
      <c r="AN102" s="1735"/>
    </row>
    <row r="103" spans="1:40" ht="15" customHeight="1">
      <c r="A103" s="357"/>
      <c r="B103" s="227" t="s">
        <v>181</v>
      </c>
      <c r="C103" s="227"/>
      <c r="D103" s="278">
        <v>0.1</v>
      </c>
      <c r="E103" s="265"/>
      <c r="F103" s="278">
        <v>0.2</v>
      </c>
      <c r="G103" s="265"/>
      <c r="H103" s="265">
        <v>0.1</v>
      </c>
      <c r="I103" s="265"/>
      <c r="J103" s="278">
        <v>0.2</v>
      </c>
      <c r="K103" s="265"/>
      <c r="L103" s="2931">
        <v>0.2</v>
      </c>
      <c r="M103" s="265"/>
      <c r="N103" s="1245">
        <v>0.1</v>
      </c>
      <c r="O103" s="265"/>
      <c r="P103" s="1245">
        <v>0.1</v>
      </c>
      <c r="Q103" s="265"/>
      <c r="R103" s="278"/>
      <c r="S103" s="265"/>
      <c r="T103" s="278"/>
      <c r="U103" s="265"/>
      <c r="V103" s="265"/>
      <c r="W103" s="265"/>
      <c r="X103" s="278"/>
      <c r="Y103" s="265"/>
      <c r="Z103" s="265"/>
      <c r="AA103" s="265"/>
      <c r="AB103" s="1245">
        <v>0</v>
      </c>
      <c r="AC103" s="265"/>
      <c r="AD103" s="254"/>
      <c r="AE103" s="265">
        <f>ROUND(SUM(D103:AB103),1)</f>
        <v>1</v>
      </c>
      <c r="AF103" s="268"/>
      <c r="AG103" s="256"/>
      <c r="AH103" s="521">
        <v>4.9000000000000004</v>
      </c>
      <c r="AI103" s="520"/>
      <c r="AJ103" s="253"/>
      <c r="AK103" s="1214">
        <f>ROUND(SUM(+AE103-AH103),1)</f>
        <v>-3.9</v>
      </c>
      <c r="AL103" s="1214"/>
      <c r="AM103" s="3240">
        <f>ROUND(IF(AH103=0,0,AK103/(AH103)),3)</f>
        <v>-0.79600000000000004</v>
      </c>
      <c r="AN103" s="1735"/>
    </row>
    <row r="104" spans="1:40" ht="15" customHeight="1">
      <c r="A104" s="357"/>
      <c r="B104" s="227"/>
      <c r="C104" s="227"/>
      <c r="D104" s="293"/>
      <c r="E104" s="265"/>
      <c r="F104" s="293"/>
      <c r="G104" s="265"/>
      <c r="H104" s="293"/>
      <c r="I104" s="265"/>
      <c r="J104" s="293"/>
      <c r="K104" s="265"/>
      <c r="L104" s="293"/>
      <c r="M104" s="265"/>
      <c r="N104" s="293"/>
      <c r="O104" s="265"/>
      <c r="P104" s="293"/>
      <c r="Q104" s="265"/>
      <c r="R104" s="293"/>
      <c r="S104" s="265"/>
      <c r="T104" s="293"/>
      <c r="U104" s="265"/>
      <c r="V104" s="293"/>
      <c r="W104" s="265"/>
      <c r="X104" s="293"/>
      <c r="Y104" s="265"/>
      <c r="Z104" s="293"/>
      <c r="AA104" s="253"/>
      <c r="AB104" s="293"/>
      <c r="AC104" s="265"/>
      <c r="AD104" s="254"/>
      <c r="AE104" s="293"/>
      <c r="AF104" s="253"/>
      <c r="AG104" s="256"/>
      <c r="AH104" s="293"/>
      <c r="AI104" s="520"/>
      <c r="AJ104" s="253"/>
      <c r="AK104" s="3143"/>
      <c r="AL104" s="2150"/>
      <c r="AM104" s="3259"/>
      <c r="AN104" s="1735"/>
    </row>
    <row r="105" spans="1:40" ht="15" customHeight="1">
      <c r="A105" s="357"/>
      <c r="B105" s="225" t="s">
        <v>164</v>
      </c>
      <c r="C105" s="227"/>
      <c r="D105" s="2154">
        <f>ROUND(SUM(D98:D103),1)</f>
        <v>1525</v>
      </c>
      <c r="E105" s="2154"/>
      <c r="F105" s="2154">
        <f>ROUND(SUM(F98:F103),1)</f>
        <v>2263.3000000000002</v>
      </c>
      <c r="G105" s="2154"/>
      <c r="H105" s="2154">
        <f>ROUND(SUM(H98:H103),1)</f>
        <v>2553.3000000000002</v>
      </c>
      <c r="I105" s="2154"/>
      <c r="J105" s="2154">
        <f>ROUND(SUM(J98:J103),1)</f>
        <v>2326</v>
      </c>
      <c r="K105" s="2154"/>
      <c r="L105" s="2154">
        <f>ROUND(SUM(L98:L103),1)</f>
        <v>2286.6999999999998</v>
      </c>
      <c r="M105" s="2154"/>
      <c r="N105" s="2154">
        <f>ROUND(SUM(N98:N103),1)</f>
        <v>4161.2</v>
      </c>
      <c r="O105" s="2154"/>
      <c r="P105" s="2154">
        <f>ROUND(SUM(P98:P103),1)</f>
        <v>2358.8000000000002</v>
      </c>
      <c r="Q105" s="2154"/>
      <c r="R105" s="2154">
        <f>ROUND(SUM(R98:R103),1)</f>
        <v>0</v>
      </c>
      <c r="S105" s="2154"/>
      <c r="T105" s="2154">
        <f>ROUND(SUM(T98:T103),1)</f>
        <v>0</v>
      </c>
      <c r="U105" s="2154"/>
      <c r="V105" s="2154">
        <f>ROUND(SUM(V98:V103),1)</f>
        <v>0</v>
      </c>
      <c r="W105" s="2154"/>
      <c r="X105" s="2154">
        <f>ROUND(SUM(X98:X103),1)</f>
        <v>0</v>
      </c>
      <c r="Y105" s="2154"/>
      <c r="Z105" s="2154">
        <f>ROUND(SUM(Z98:Z103),1)</f>
        <v>0</v>
      </c>
      <c r="AA105" s="2154"/>
      <c r="AB105" s="2154">
        <f>ROUND(SUM(AB98:AB103),1)</f>
        <v>0</v>
      </c>
      <c r="AC105" s="2154"/>
      <c r="AD105" s="263"/>
      <c r="AE105" s="2154">
        <f>ROUND(SUM(AE98:AE103),1)</f>
        <v>17474.3</v>
      </c>
      <c r="AF105" s="277"/>
      <c r="AG105" s="760"/>
      <c r="AH105" s="2154">
        <f>ROUND(SUM(AH98:AH103),1)</f>
        <v>17528.8</v>
      </c>
      <c r="AI105" s="527"/>
      <c r="AJ105" s="277"/>
      <c r="AK105" s="275">
        <f>ROUND(SUM(AE105-AH105),1)</f>
        <v>-54.5</v>
      </c>
      <c r="AL105" s="418"/>
      <c r="AM105" s="3244">
        <f>ROUND(SUM((AE105-AH105)/AH105),3)</f>
        <v>-3.0000000000000001E-3</v>
      </c>
      <c r="AN105" s="1735"/>
    </row>
    <row r="106" spans="1:40" ht="15" customHeight="1">
      <c r="A106" s="357"/>
      <c r="B106" s="227"/>
      <c r="C106" s="227"/>
      <c r="D106" s="293"/>
      <c r="E106" s="265"/>
      <c r="F106" s="293"/>
      <c r="G106" s="265"/>
      <c r="H106" s="293"/>
      <c r="I106" s="265"/>
      <c r="J106" s="293"/>
      <c r="K106" s="265"/>
      <c r="L106" s="293"/>
      <c r="M106" s="265"/>
      <c r="N106" s="293"/>
      <c r="O106" s="265"/>
      <c r="P106" s="293"/>
      <c r="Q106" s="265"/>
      <c r="R106" s="293"/>
      <c r="S106" s="265"/>
      <c r="T106" s="293"/>
      <c r="U106" s="265"/>
      <c r="V106" s="293"/>
      <c r="W106" s="265"/>
      <c r="X106" s="293"/>
      <c r="Y106" s="265"/>
      <c r="Z106" s="293"/>
      <c r="AA106" s="253"/>
      <c r="AB106" s="293"/>
      <c r="AC106" s="265"/>
      <c r="AD106" s="254"/>
      <c r="AE106" s="293"/>
      <c r="AF106" s="253"/>
      <c r="AG106" s="256"/>
      <c r="AH106" s="293"/>
      <c r="AI106" s="520"/>
      <c r="AJ106" s="253"/>
      <c r="AK106" s="1214"/>
      <c r="AL106" s="2150"/>
      <c r="AM106" s="3240"/>
      <c r="AN106" s="1735"/>
    </row>
    <row r="107" spans="1:40" ht="15" customHeight="1">
      <c r="A107" s="357"/>
      <c r="B107" s="225" t="s">
        <v>165</v>
      </c>
      <c r="C107" s="227"/>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54"/>
      <c r="AE107" s="265"/>
      <c r="AF107" s="253"/>
      <c r="AG107" s="256"/>
      <c r="AH107" s="265"/>
      <c r="AI107" s="520"/>
      <c r="AJ107" s="253"/>
      <c r="AK107" s="2176"/>
      <c r="AL107" s="2150"/>
      <c r="AM107" s="3240"/>
      <c r="AN107" s="1735"/>
    </row>
    <row r="108" spans="1:40" ht="15" customHeight="1">
      <c r="A108" s="357"/>
      <c r="B108" s="225" t="s">
        <v>46</v>
      </c>
      <c r="C108" s="227"/>
      <c r="D108" s="2154">
        <f>ROUND(SUM(D84-D105),1)</f>
        <v>39.299999999999997</v>
      </c>
      <c r="E108" s="2154"/>
      <c r="F108" s="2154">
        <f>ROUND(SUM(F84-F105),1)</f>
        <v>-676.5</v>
      </c>
      <c r="G108" s="2154"/>
      <c r="H108" s="2154">
        <f>ROUND(SUM(H84-H105),1)</f>
        <v>-377.5</v>
      </c>
      <c r="I108" s="2154"/>
      <c r="J108" s="2154">
        <f>ROUND(SUM(J84-J105),1)</f>
        <v>-686.9</v>
      </c>
      <c r="K108" s="2154"/>
      <c r="L108" s="2154">
        <f>ROUND(SUM(L84-L105),1)</f>
        <v>-675</v>
      </c>
      <c r="M108" s="2154"/>
      <c r="N108" s="2154">
        <f>ROUND(SUM(N84-N105),1)</f>
        <v>-1783.6</v>
      </c>
      <c r="O108" s="2154"/>
      <c r="P108" s="2154">
        <f>ROUND(SUM(P84-P105),1)</f>
        <v>-561.5</v>
      </c>
      <c r="Q108" s="2154"/>
      <c r="R108" s="2154">
        <f>ROUND(SUM(R84-R105),1)</f>
        <v>0</v>
      </c>
      <c r="S108" s="2154"/>
      <c r="T108" s="2154">
        <f>ROUND(SUM(T84-T105),1)</f>
        <v>0</v>
      </c>
      <c r="U108" s="2154"/>
      <c r="V108" s="2154">
        <f>ROUND(SUM(V84-V105),1)</f>
        <v>0</v>
      </c>
      <c r="W108" s="2154"/>
      <c r="X108" s="2154">
        <f>ROUND(SUM(X84-X105),1)</f>
        <v>0</v>
      </c>
      <c r="Y108" s="2154"/>
      <c r="Z108" s="2154">
        <f>ROUND(SUM(Z84-Z105),1)</f>
        <v>0</v>
      </c>
      <c r="AA108" s="2154"/>
      <c r="AB108" s="2154">
        <f>ROUND(SUM(AB84-AB105),1)</f>
        <v>0</v>
      </c>
      <c r="AC108" s="2154"/>
      <c r="AD108" s="263"/>
      <c r="AE108" s="2154">
        <f>ROUND(SUM(AE84-AE105),1)</f>
        <v>-4721.7</v>
      </c>
      <c r="AF108" s="277"/>
      <c r="AG108" s="760"/>
      <c r="AH108" s="2154">
        <f>ROUND(SUM(AH84-AH105),1)</f>
        <v>-4467.8999999999996</v>
      </c>
      <c r="AI108" s="527"/>
      <c r="AJ108" s="277"/>
      <c r="AK108" s="275">
        <f>ROUND(SUM(AE108-AH108),1)</f>
        <v>-253.8</v>
      </c>
      <c r="AL108" s="417"/>
      <c r="AM108" s="3261">
        <f>-ROUND(SUM((AE108-AH108)/AH108),3)</f>
        <v>-5.7000000000000002E-2</v>
      </c>
      <c r="AN108" s="1735"/>
    </row>
    <row r="109" spans="1:40" ht="15" customHeight="1">
      <c r="A109" s="357"/>
      <c r="B109" s="227"/>
      <c r="C109" s="227"/>
      <c r="D109" s="293"/>
      <c r="E109" s="265"/>
      <c r="F109" s="293"/>
      <c r="G109" s="265"/>
      <c r="H109" s="293"/>
      <c r="I109" s="265"/>
      <c r="J109" s="293"/>
      <c r="K109" s="265"/>
      <c r="L109" s="293"/>
      <c r="M109" s="265"/>
      <c r="N109" s="293"/>
      <c r="O109" s="265"/>
      <c r="P109" s="293"/>
      <c r="Q109" s="265"/>
      <c r="R109" s="293"/>
      <c r="S109" s="265"/>
      <c r="T109" s="293"/>
      <c r="U109" s="265"/>
      <c r="V109" s="293"/>
      <c r="W109" s="265"/>
      <c r="X109" s="293"/>
      <c r="Y109" s="265"/>
      <c r="Z109" s="293"/>
      <c r="AA109" s="253"/>
      <c r="AB109" s="293"/>
      <c r="AC109" s="265"/>
      <c r="AD109" s="254"/>
      <c r="AE109" s="293"/>
      <c r="AF109" s="253"/>
      <c r="AG109" s="256"/>
      <c r="AH109" s="293"/>
      <c r="AI109" s="520"/>
      <c r="AJ109" s="253"/>
      <c r="AK109" s="1214"/>
      <c r="AL109" s="2150"/>
      <c r="AM109" s="3240"/>
      <c r="AN109" s="1735"/>
    </row>
    <row r="110" spans="1:40" ht="15" customHeight="1">
      <c r="A110" s="357"/>
      <c r="B110" s="225" t="s">
        <v>47</v>
      </c>
      <c r="C110" s="227"/>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54"/>
      <c r="AE110" s="265"/>
      <c r="AF110" s="253"/>
      <c r="AG110" s="256"/>
      <c r="AH110" s="323"/>
      <c r="AI110" s="520"/>
      <c r="AJ110" s="253"/>
      <c r="AK110" s="1214"/>
      <c r="AL110" s="2150"/>
      <c r="AM110" s="3240"/>
      <c r="AN110" s="1735"/>
    </row>
    <row r="111" spans="1:40" ht="15" customHeight="1">
      <c r="A111" s="357"/>
      <c r="B111" s="227" t="s">
        <v>185</v>
      </c>
      <c r="C111" s="227"/>
      <c r="D111" s="278">
        <v>603.70000000000005</v>
      </c>
      <c r="E111" s="265"/>
      <c r="F111" s="278">
        <v>743.5</v>
      </c>
      <c r="G111" s="265"/>
      <c r="H111" s="278">
        <v>807.3</v>
      </c>
      <c r="I111" s="265"/>
      <c r="J111" s="278">
        <v>423.4</v>
      </c>
      <c r="K111" s="265"/>
      <c r="L111" s="1372">
        <v>725</v>
      </c>
      <c r="M111" s="265"/>
      <c r="N111" s="1245">
        <v>1016.4</v>
      </c>
      <c r="O111" s="265"/>
      <c r="P111" s="1245">
        <v>355</v>
      </c>
      <c r="Q111" s="265"/>
      <c r="R111" s="278"/>
      <c r="S111" s="265"/>
      <c r="T111" s="278"/>
      <c r="U111" s="265"/>
      <c r="V111" s="278"/>
      <c r="W111" s="265"/>
      <c r="X111" s="278"/>
      <c r="Y111" s="265"/>
      <c r="Z111" s="278"/>
      <c r="AA111" s="278"/>
      <c r="AB111" s="278">
        <f>-'Exhibit G Federal'!AB84</f>
        <v>-258.7</v>
      </c>
      <c r="AC111" s="265"/>
      <c r="AD111" s="254"/>
      <c r="AE111" s="323">
        <f>ROUND(SUM(D111:AB111),1)</f>
        <v>4415.6000000000004</v>
      </c>
      <c r="AF111" s="1409"/>
      <c r="AG111" s="256"/>
      <c r="AH111" s="323">
        <v>4565.6000000000004</v>
      </c>
      <c r="AI111" s="520"/>
      <c r="AJ111" s="253"/>
      <c r="AK111" s="1214">
        <f>ROUND(SUM(+AE111-AH111),1)</f>
        <v>-150</v>
      </c>
      <c r="AL111" s="1214"/>
      <c r="AM111" s="3240">
        <f>ROUND(IF(AH111=0,0,AK111/(AH111)),3)</f>
        <v>-3.3000000000000002E-2</v>
      </c>
      <c r="AN111" s="1735"/>
    </row>
    <row r="112" spans="1:40" ht="15" customHeight="1">
      <c r="A112" s="357"/>
      <c r="B112" s="227" t="s">
        <v>183</v>
      </c>
      <c r="C112" s="227"/>
      <c r="D112" s="278">
        <v>-115.4</v>
      </c>
      <c r="E112" s="265"/>
      <c r="F112" s="278">
        <v>-45.8</v>
      </c>
      <c r="G112" s="265"/>
      <c r="H112" s="278">
        <v>-81.7</v>
      </c>
      <c r="I112" s="265"/>
      <c r="J112" s="278">
        <v>-12.8</v>
      </c>
      <c r="K112" s="265"/>
      <c r="L112" s="1372">
        <v>3.6</v>
      </c>
      <c r="M112" s="265"/>
      <c r="N112" s="1245">
        <v>-59</v>
      </c>
      <c r="O112" s="265"/>
      <c r="P112" s="1245">
        <v>-21.6</v>
      </c>
      <c r="Q112" s="265"/>
      <c r="R112" s="278"/>
      <c r="S112" s="265"/>
      <c r="T112" s="278"/>
      <c r="U112" s="265"/>
      <c r="V112" s="278"/>
      <c r="W112" s="265"/>
      <c r="X112" s="278"/>
      <c r="Y112" s="265"/>
      <c r="Z112" s="278"/>
      <c r="AA112" s="278"/>
      <c r="AB112" s="1245">
        <v>0</v>
      </c>
      <c r="AC112" s="265"/>
      <c r="AD112" s="254"/>
      <c r="AE112" s="323">
        <f>ROUND(SUM(D112:AB112),1)</f>
        <v>-332.7</v>
      </c>
      <c r="AF112" s="253"/>
      <c r="AG112" s="256"/>
      <c r="AH112" s="1321">
        <v>-518</v>
      </c>
      <c r="AI112" s="520"/>
      <c r="AJ112" s="253"/>
      <c r="AK112" s="2176">
        <f>ROUND(SUM(+AE112-AH112)*-1,1)</f>
        <v>-185.3</v>
      </c>
      <c r="AL112" s="2176"/>
      <c r="AM112" s="3240">
        <f>ROUND(IF(AH112=0,0,AK112/(AH112)),3)*-1</f>
        <v>-0.35799999999999998</v>
      </c>
      <c r="AN112" s="1735"/>
    </row>
    <row r="113" spans="1:53" ht="15" customHeight="1">
      <c r="A113" s="357"/>
      <c r="B113" s="227"/>
      <c r="C113" s="227"/>
      <c r="D113" s="293"/>
      <c r="E113" s="265"/>
      <c r="F113" s="293"/>
      <c r="G113" s="265"/>
      <c r="H113" s="293"/>
      <c r="I113" s="265"/>
      <c r="J113" s="293"/>
      <c r="K113" s="265"/>
      <c r="L113" s="293"/>
      <c r="M113" s="265"/>
      <c r="N113" s="293"/>
      <c r="O113" s="265"/>
      <c r="P113" s="293"/>
      <c r="Q113" s="265"/>
      <c r="R113" s="293"/>
      <c r="S113" s="265"/>
      <c r="T113" s="293"/>
      <c r="U113" s="265"/>
      <c r="V113" s="293"/>
      <c r="W113" s="265"/>
      <c r="X113" s="293"/>
      <c r="Y113" s="265"/>
      <c r="Z113" s="293"/>
      <c r="AA113" s="253"/>
      <c r="AB113" s="293"/>
      <c r="AC113" s="265"/>
      <c r="AD113" s="254"/>
      <c r="AE113" s="293"/>
      <c r="AF113" s="253"/>
      <c r="AG113" s="256"/>
      <c r="AH113" s="332"/>
      <c r="AI113" s="520"/>
      <c r="AJ113" s="253"/>
      <c r="AK113" s="3143"/>
      <c r="AL113" s="2150"/>
      <c r="AM113" s="3259"/>
      <c r="AN113" s="1735"/>
    </row>
    <row r="114" spans="1:53" ht="15" customHeight="1">
      <c r="A114" s="357"/>
      <c r="B114" s="225" t="s">
        <v>1687</v>
      </c>
      <c r="C114" s="227"/>
      <c r="D114" s="2154">
        <f>ROUND(SUM(D111:D113),1)</f>
        <v>488.3</v>
      </c>
      <c r="E114" s="2154"/>
      <c r="F114" s="2154">
        <f>ROUND(SUM(F111:F113),1)</f>
        <v>697.7</v>
      </c>
      <c r="G114" s="2154"/>
      <c r="H114" s="2154">
        <f>ROUND(SUM(H111:H113),1)</f>
        <v>725.6</v>
      </c>
      <c r="I114" s="2154"/>
      <c r="J114" s="2154">
        <f>ROUND(SUM(J111:J113),1)</f>
        <v>410.6</v>
      </c>
      <c r="K114" s="2154"/>
      <c r="L114" s="2154">
        <f>ROUND(SUM(L111:L113),1)</f>
        <v>728.6</v>
      </c>
      <c r="M114" s="2154"/>
      <c r="N114" s="2154">
        <f>ROUND(SUM(N111:N113),1)</f>
        <v>957.4</v>
      </c>
      <c r="O114" s="2154"/>
      <c r="P114" s="2154">
        <f>ROUND(SUM(P111:P113),1)</f>
        <v>333.4</v>
      </c>
      <c r="Q114" s="2154"/>
      <c r="R114" s="2154">
        <f>ROUND(SUM(R111:R113),1)</f>
        <v>0</v>
      </c>
      <c r="S114" s="2154"/>
      <c r="T114" s="2154">
        <f>ROUND(SUM(T111:T113),1)</f>
        <v>0</v>
      </c>
      <c r="U114" s="2154"/>
      <c r="V114" s="2154">
        <f>ROUND(SUM(V111:V113),1)</f>
        <v>0</v>
      </c>
      <c r="W114" s="2154"/>
      <c r="X114" s="2154">
        <f>ROUND(SUM(X111:X113),1)</f>
        <v>0</v>
      </c>
      <c r="Y114" s="2154"/>
      <c r="Z114" s="2154">
        <f>ROUND(SUM(Z111:Z113),1)</f>
        <v>0</v>
      </c>
      <c r="AA114" s="2154"/>
      <c r="AB114" s="2154">
        <f>ROUND(SUM(AB111:AB113),1)</f>
        <v>-258.7</v>
      </c>
      <c r="AC114" s="2154"/>
      <c r="AD114" s="263"/>
      <c r="AE114" s="2154">
        <f>ROUND(SUM(AE111:AE113),1)</f>
        <v>4082.9</v>
      </c>
      <c r="AF114" s="277"/>
      <c r="AG114" s="760"/>
      <c r="AH114" s="317">
        <f>ROUND(SUM(AH111:AH113),1)</f>
        <v>4047.6</v>
      </c>
      <c r="AI114" s="527"/>
      <c r="AJ114" s="277"/>
      <c r="AK114" s="275">
        <f>ROUND(SUM(AE114-AH114),1)</f>
        <v>35.299999999999997</v>
      </c>
      <c r="AL114" s="373"/>
      <c r="AM114" s="3244">
        <f>ROUND(SUM((AE114-AH114)/AH114),3)</f>
        <v>8.9999999999999993E-3</v>
      </c>
      <c r="AN114" s="3081"/>
    </row>
    <row r="115" spans="1:53" ht="15" customHeight="1">
      <c r="A115" s="357"/>
      <c r="B115" s="227"/>
      <c r="C115" s="227"/>
      <c r="D115" s="293"/>
      <c r="E115" s="265"/>
      <c r="F115" s="293"/>
      <c r="G115" s="265"/>
      <c r="H115" s="293"/>
      <c r="I115" s="265"/>
      <c r="J115" s="293"/>
      <c r="K115" s="265"/>
      <c r="L115" s="293"/>
      <c r="M115" s="265"/>
      <c r="N115" s="293"/>
      <c r="O115" s="265"/>
      <c r="P115" s="293"/>
      <c r="Q115" s="265"/>
      <c r="R115" s="293"/>
      <c r="S115" s="265"/>
      <c r="T115" s="293"/>
      <c r="U115" s="265"/>
      <c r="V115" s="293"/>
      <c r="W115" s="265"/>
      <c r="X115" s="293"/>
      <c r="Y115" s="265"/>
      <c r="Z115" s="293"/>
      <c r="AA115" s="253"/>
      <c r="AB115" s="293"/>
      <c r="AC115" s="265"/>
      <c r="AD115" s="254"/>
      <c r="AE115" s="293"/>
      <c r="AF115" s="253"/>
      <c r="AG115" s="256"/>
      <c r="AH115" s="332"/>
      <c r="AI115" s="520"/>
      <c r="AJ115" s="253"/>
      <c r="AK115" s="1214"/>
      <c r="AL115" s="2150"/>
      <c r="AM115" s="3240"/>
      <c r="AN115" s="1735"/>
    </row>
    <row r="116" spans="1:53" ht="15" customHeight="1">
      <c r="A116" s="357"/>
      <c r="B116" s="225" t="s">
        <v>174</v>
      </c>
      <c r="C116" s="227"/>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54"/>
      <c r="AE116" s="265"/>
      <c r="AF116" s="253"/>
      <c r="AG116" s="256"/>
      <c r="AH116" s="323"/>
      <c r="AI116" s="520"/>
      <c r="AJ116" s="253"/>
      <c r="AK116" s="1214"/>
      <c r="AL116" s="2150"/>
      <c r="AM116" s="3240"/>
      <c r="AN116" s="1735"/>
    </row>
    <row r="117" spans="1:53" ht="15" customHeight="1">
      <c r="A117" s="357"/>
      <c r="B117" s="225" t="s">
        <v>175</v>
      </c>
      <c r="C117" s="227"/>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54"/>
      <c r="AE117" s="265"/>
      <c r="AF117" s="253"/>
      <c r="AG117" s="256"/>
      <c r="AH117" s="429"/>
      <c r="AI117" s="520"/>
      <c r="AJ117" s="253"/>
      <c r="AK117" s="1214"/>
      <c r="AL117" s="2150"/>
      <c r="AM117" s="3240"/>
      <c r="AN117" s="1735"/>
    </row>
    <row r="118" spans="1:53" ht="15" customHeight="1" thickBot="1">
      <c r="A118" s="357"/>
      <c r="B118" s="225" t="s">
        <v>1683</v>
      </c>
      <c r="C118" s="227"/>
      <c r="D118" s="508">
        <f>ROUND(SUM(D108+D114),1)</f>
        <v>527.6</v>
      </c>
      <c r="E118" s="2154"/>
      <c r="F118" s="508">
        <f>ROUND(SUM(F108+F114),1)</f>
        <v>21.2</v>
      </c>
      <c r="G118" s="2154"/>
      <c r="H118" s="508">
        <f>ROUND(SUM(H108+H114),1)</f>
        <v>348.1</v>
      </c>
      <c r="I118" s="2154"/>
      <c r="J118" s="508">
        <f>ROUND(SUM(J108+J114),1)</f>
        <v>-276.3</v>
      </c>
      <c r="K118" s="2154"/>
      <c r="L118" s="508">
        <f>ROUND(SUM(L108+L114),1)</f>
        <v>53.6</v>
      </c>
      <c r="M118" s="2154"/>
      <c r="N118" s="508">
        <f>ROUND(SUM(N108+N114),1)</f>
        <v>-826.2</v>
      </c>
      <c r="O118" s="2154"/>
      <c r="P118" s="508">
        <f>ROUND(SUM(P108+P114),1)</f>
        <v>-228.1</v>
      </c>
      <c r="Q118" s="2154"/>
      <c r="R118" s="508">
        <f>ROUND(SUM(R108+R114),1)</f>
        <v>0</v>
      </c>
      <c r="S118" s="2154"/>
      <c r="T118" s="508">
        <f>ROUND(SUM(T108+T114),1)</f>
        <v>0</v>
      </c>
      <c r="U118" s="2154"/>
      <c r="V118" s="508">
        <f>ROUND(SUM(V108+V114),1)</f>
        <v>0</v>
      </c>
      <c r="W118" s="2154"/>
      <c r="X118" s="508">
        <f>ROUND(SUM(X108+X114),1)</f>
        <v>0</v>
      </c>
      <c r="Y118" s="2154"/>
      <c r="Z118" s="508">
        <f>ROUND(SUM(Z108+Z114),1)</f>
        <v>0</v>
      </c>
      <c r="AA118" s="429"/>
      <c r="AB118" s="508">
        <f>ROUND(SUM(AB108+AB114),1)</f>
        <v>-258.7</v>
      </c>
      <c r="AC118" s="2154"/>
      <c r="AD118" s="263"/>
      <c r="AE118" s="508">
        <f>ROUND(SUM(AE108+AE114),1)</f>
        <v>-638.79999999999995</v>
      </c>
      <c r="AF118" s="277"/>
      <c r="AG118" s="760"/>
      <c r="AH118" s="508">
        <f>ROUND(SUM(AH108+AH114),1)</f>
        <v>-420.3</v>
      </c>
      <c r="AI118" s="527"/>
      <c r="AJ118" s="277"/>
      <c r="AK118" s="508">
        <f>ROUND(SUM(AK108+AK114),1)</f>
        <v>-218.5</v>
      </c>
      <c r="AL118" s="417"/>
      <c r="AM118" s="3262">
        <f>ROUND(IF(AH118=0,0,AK118/(AH118))*-1,3)</f>
        <v>-0.52</v>
      </c>
      <c r="AN118" s="1735"/>
    </row>
    <row r="119" spans="1:53" ht="15" customHeight="1" thickTop="1">
      <c r="A119" s="357"/>
      <c r="B119" s="225"/>
      <c r="C119" s="227"/>
      <c r="D119" s="372"/>
      <c r="E119" s="372"/>
      <c r="F119" s="372"/>
      <c r="G119" s="372"/>
      <c r="H119" s="372"/>
      <c r="I119" s="372"/>
      <c r="J119" s="372"/>
      <c r="K119" s="372"/>
      <c r="L119" s="372"/>
      <c r="M119" s="372"/>
      <c r="N119" s="372"/>
      <c r="O119" s="372"/>
      <c r="P119" s="372"/>
      <c r="Q119" s="372"/>
      <c r="R119" s="372"/>
      <c r="S119" s="372"/>
      <c r="T119" s="372"/>
      <c r="U119" s="372"/>
      <c r="V119" s="372"/>
      <c r="W119" s="372"/>
      <c r="X119" s="372"/>
      <c r="Y119" s="372"/>
      <c r="Z119" s="372"/>
      <c r="AA119" s="372"/>
      <c r="AB119" s="372"/>
      <c r="AC119" s="372"/>
      <c r="AD119" s="257"/>
      <c r="AE119" s="257"/>
      <c r="AF119" s="257"/>
      <c r="AG119" s="257"/>
      <c r="AH119" s="322"/>
      <c r="AI119" s="257"/>
      <c r="AJ119" s="233"/>
      <c r="AK119" s="3145"/>
      <c r="AL119" s="3145"/>
      <c r="AM119" s="3260"/>
      <c r="AN119" s="1735"/>
    </row>
    <row r="120" spans="1:53" ht="4.5" customHeight="1">
      <c r="A120" s="357"/>
      <c r="B120" s="227"/>
      <c r="C120" s="227"/>
      <c r="D120" s="552"/>
      <c r="E120" s="552"/>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52"/>
      <c r="AB120" s="552"/>
      <c r="AC120" s="552"/>
      <c r="AD120" s="552"/>
      <c r="AE120" s="552"/>
      <c r="AF120" s="552"/>
      <c r="AG120" s="552"/>
      <c r="AH120" s="552"/>
      <c r="AI120" s="552"/>
      <c r="AJ120" s="552"/>
      <c r="AK120" s="3146"/>
      <c r="AL120" s="3146"/>
      <c r="AM120" s="3263"/>
      <c r="AN120" s="1735"/>
      <c r="AO120" s="553"/>
      <c r="AP120" s="553"/>
      <c r="AQ120" s="553"/>
      <c r="AR120" s="553"/>
      <c r="AS120" s="553"/>
      <c r="AT120" s="553"/>
      <c r="AU120" s="553"/>
      <c r="AV120" s="553"/>
      <c r="AW120" s="553"/>
      <c r="AX120" s="553"/>
      <c r="AY120" s="553"/>
      <c r="AZ120" s="553"/>
      <c r="BA120" s="553"/>
    </row>
    <row r="121" spans="1:53" ht="15" customHeight="1">
      <c r="B121" s="226" t="s">
        <v>186</v>
      </c>
      <c r="C121" s="226"/>
      <c r="D121" s="511"/>
      <c r="E121" s="511"/>
      <c r="F121" s="511"/>
      <c r="G121" s="511"/>
      <c r="H121" s="511"/>
      <c r="I121" s="511"/>
      <c r="J121" s="511"/>
      <c r="K121" s="511"/>
      <c r="L121" s="511"/>
      <c r="M121" s="511"/>
      <c r="N121" s="511"/>
      <c r="O121" s="511"/>
      <c r="P121" s="511"/>
      <c r="Q121" s="511"/>
      <c r="R121" s="511"/>
      <c r="S121" s="511"/>
      <c r="T121" s="511"/>
      <c r="U121" s="511"/>
      <c r="V121" s="511"/>
      <c r="W121" s="511"/>
      <c r="X121" s="511"/>
      <c r="Y121" s="511"/>
      <c r="Z121" s="511"/>
      <c r="AA121" s="511"/>
      <c r="AB121" s="511"/>
      <c r="AC121" s="511"/>
      <c r="AD121" s="511"/>
      <c r="AE121" s="511"/>
      <c r="AF121" s="511"/>
      <c r="AG121" s="511"/>
      <c r="AH121" s="511"/>
      <c r="AI121" s="511"/>
      <c r="AJ121" s="511"/>
      <c r="AK121" s="3144"/>
      <c r="AL121" s="3144"/>
      <c r="AM121" s="3240"/>
      <c r="AN121" s="1735"/>
      <c r="AO121" s="553"/>
      <c r="AP121" s="553"/>
      <c r="AQ121" s="553"/>
      <c r="AR121" s="553"/>
      <c r="AS121" s="553"/>
      <c r="AT121" s="553"/>
      <c r="AU121" s="553"/>
      <c r="AV121" s="553"/>
      <c r="AW121" s="553"/>
      <c r="AX121" s="553"/>
      <c r="AY121" s="553"/>
      <c r="AZ121" s="553"/>
      <c r="BA121" s="553"/>
    </row>
    <row r="122" spans="1:53" ht="15" customHeight="1">
      <c r="B122" s="226"/>
      <c r="AM122" s="3264"/>
      <c r="AN122" s="1735"/>
    </row>
    <row r="123" spans="1:53" ht="15" customHeight="1">
      <c r="B123" s="226"/>
      <c r="AM123" s="3264"/>
      <c r="AN123" s="1735"/>
    </row>
    <row r="124" spans="1:53">
      <c r="AM124" s="3264"/>
      <c r="AN124" s="1735"/>
    </row>
    <row r="125" spans="1:53" ht="15" customHeight="1">
      <c r="AM125" s="3264"/>
      <c r="AN125" s="1735"/>
    </row>
    <row r="126" spans="1:53" ht="15" customHeight="1">
      <c r="D126" s="2150"/>
      <c r="F126" s="2150"/>
      <c r="H126" s="2150"/>
      <c r="AM126" s="3264"/>
      <c r="AN126" s="1735"/>
    </row>
    <row r="127" spans="1:53" ht="15" customHeight="1">
      <c r="AM127" s="1735"/>
      <c r="AN127" s="1735"/>
    </row>
    <row r="128" spans="1:53" ht="15" customHeight="1">
      <c r="AM128" s="1735"/>
      <c r="AN128" s="1735"/>
    </row>
    <row r="129" spans="39:40" ht="15" customHeight="1">
      <c r="AM129" s="1735"/>
      <c r="AN129" s="1735"/>
    </row>
    <row r="130" spans="39:40" ht="15" customHeight="1">
      <c r="AM130" s="1735"/>
      <c r="AN130" s="1735"/>
    </row>
    <row r="131" spans="39:40" ht="15" customHeight="1">
      <c r="AM131" s="1735"/>
      <c r="AN131" s="1735"/>
    </row>
    <row r="132" spans="39:40" ht="15" customHeight="1">
      <c r="AM132" s="1735"/>
      <c r="AN132" s="1735"/>
    </row>
    <row r="133" spans="39:40" ht="15" customHeight="1">
      <c r="AM133" s="1735"/>
      <c r="AN133" s="1735"/>
    </row>
    <row r="134" spans="39:40" ht="15" customHeight="1">
      <c r="AM134" s="1735"/>
      <c r="AN134" s="1735"/>
    </row>
    <row r="135" spans="39:40" ht="15" customHeight="1">
      <c r="AM135" s="1735"/>
      <c r="AN135" s="1735"/>
    </row>
    <row r="136" spans="39:40" ht="15" customHeight="1">
      <c r="AM136" s="1735"/>
      <c r="AN136" s="1735"/>
    </row>
    <row r="137" spans="39:40" ht="15" customHeight="1">
      <c r="AM137" s="1735"/>
      <c r="AN137" s="1735"/>
    </row>
    <row r="138" spans="39:40" ht="15" customHeight="1">
      <c r="AM138" s="1735"/>
      <c r="AN138" s="1735"/>
    </row>
    <row r="139" spans="39:40" ht="15" customHeight="1">
      <c r="AM139" s="1735"/>
      <c r="AN139" s="1735"/>
    </row>
    <row r="140" spans="39:40" ht="15" customHeight="1">
      <c r="AM140" s="1735"/>
      <c r="AN140" s="1735"/>
    </row>
    <row r="141" spans="39:40" ht="15" customHeight="1">
      <c r="AM141" s="1735"/>
      <c r="AN141" s="1735"/>
    </row>
    <row r="142" spans="39:40" ht="15" customHeight="1">
      <c r="AM142" s="1735"/>
      <c r="AN142" s="1735"/>
    </row>
    <row r="143" spans="39:40" ht="15" customHeight="1">
      <c r="AM143" s="1735"/>
      <c r="AN143" s="1735"/>
    </row>
    <row r="144" spans="39:40" ht="15" customHeight="1">
      <c r="AM144" s="1735"/>
      <c r="AN144" s="1735"/>
    </row>
    <row r="145" spans="39:40" ht="15" customHeight="1">
      <c r="AM145" s="1735"/>
      <c r="AN145" s="1735"/>
    </row>
    <row r="146" spans="39:40" ht="15" customHeight="1">
      <c r="AM146" s="1735"/>
      <c r="AN146" s="1735"/>
    </row>
    <row r="147" spans="39:40" ht="15" customHeight="1">
      <c r="AM147" s="1735"/>
      <c r="AN147" s="1735"/>
    </row>
    <row r="148" spans="39:40" ht="15" customHeight="1">
      <c r="AM148" s="1735"/>
      <c r="AN148" s="1735"/>
    </row>
    <row r="149" spans="39:40" ht="15" customHeight="1">
      <c r="AM149" s="1735"/>
      <c r="AN149" s="1735"/>
    </row>
    <row r="150" spans="39:40" ht="15" customHeight="1">
      <c r="AM150" s="1735"/>
      <c r="AN150" s="1735"/>
    </row>
    <row r="151" spans="39:40" ht="15" customHeight="1">
      <c r="AM151" s="1735"/>
      <c r="AN151" s="1735"/>
    </row>
    <row r="152" spans="39:40" ht="15" customHeight="1">
      <c r="AM152" s="1735"/>
      <c r="AN152" s="1735"/>
    </row>
    <row r="153" spans="39:40" ht="15" customHeight="1">
      <c r="AM153" s="1735"/>
      <c r="AN153" s="1735"/>
    </row>
    <row r="154" spans="39:40" ht="15" customHeight="1">
      <c r="AM154" s="1735"/>
      <c r="AN154" s="1735"/>
    </row>
    <row r="155" spans="39:40" ht="15" customHeight="1">
      <c r="AM155" s="1735"/>
      <c r="AN155" s="1735"/>
    </row>
    <row r="156" spans="39:40" ht="15" customHeight="1"/>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sheetData>
  <customSheetViews>
    <customSheetView guid="{BD09DBC2-63A5-4D9C-9B00-4281066E9389}" scale="60" showPageBreaks="1" showGridLines="0" outlineSymbols="0" printArea="1" topLeftCell="A43">
      <selection activeCell="B56" sqref="B56"/>
      <rowBreaks count="1" manualBreakCount="1">
        <brk id="80" min="1" max="38" man="1"/>
      </rowBreaks>
      <pageMargins left="0.25" right="0.25" top="0.5" bottom="0.25" header="0" footer="0.25"/>
      <pageSetup scale="40" firstPageNumber="24" orientation="landscape" useFirstPageNumber="1" r:id="rId1"/>
      <headerFooter alignWithMargins="0">
        <oddFooter>&amp;C&amp;P</oddFooter>
      </headerFooter>
    </customSheetView>
    <customSheetView guid="{C82E0A7D-2B5B-48FC-A705-3168E651E04C}" scale="75" showPageBreaks="1" showGridLines="0" outlineSymbols="0" printArea="1">
      <selection activeCell="N35" sqref="N35"/>
      <rowBreaks count="1" manualBreakCount="1">
        <brk id="65" min="1" max="36" man="1"/>
      </rowBreaks>
      <pageMargins left="0.25" right="0.25" top="0.59" bottom="0.25" header="0" footer="0.25"/>
      <pageSetup scale="39" firstPageNumber="24" fitToHeight="2" orientation="landscape" useFirstPageNumber="1" r:id="rId2"/>
      <headerFooter scaleWithDoc="0" alignWithMargins="0">
        <oddFooter>&amp;C&amp;8&amp;P</oddFooter>
      </headerFooter>
    </customSheetView>
    <customSheetView guid="{A8B05C3B-0E7E-44A3-A097-AF4C5C09F04E}" scale="75" showPageBreaks="1" showGridLines="0" outlineSymbols="0" printArea="1" topLeftCell="K1">
      <selection activeCell="AO16" sqref="AO16"/>
      <rowBreaks count="1" manualBreakCount="1">
        <brk id="63" min="1" max="36" man="1"/>
      </rowBreaks>
      <pageMargins left="0.25" right="0.25" top="0.59" bottom="0.25" header="0" footer="0.25"/>
      <pageSetup scale="39" firstPageNumber="24" fitToHeight="2" orientation="landscape" useFirstPageNumber="1" r:id="rId3"/>
      <headerFooter scaleWithDoc="0" alignWithMargins="0">
        <oddFooter>&amp;C&amp;8&amp;P</oddFooter>
      </headerFooter>
    </customSheetView>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4"/>
      <headerFooter scaleWithDoc="0" alignWithMargins="0">
        <oddFooter>&amp;C&amp;8&amp;P</oddFooter>
      </headerFooter>
    </customSheetView>
    <customSheetView guid="{4735AAE3-27B4-4549-AAB4-50ACA997F5F5}" scale="75" showPageBreaks="1" showGridLines="0" outlineSymbols="0" printArea="1" topLeftCell="K73">
      <selection activeCell="AF123" sqref="AF123"/>
      <rowBreaks count="1" manualBreakCount="1">
        <brk id="64" min="1" max="36" man="1"/>
      </rowBreaks>
      <pageMargins left="0.35" right="0.25" top="0.59" bottom="0.25" header="0" footer="0.25"/>
      <pageSetup scale="40" firstPageNumber="24" fitToHeight="2" orientation="landscape" useFirstPageNumber="1" r:id="rId5"/>
      <headerFooter scaleWithDoc="0" alignWithMargins="0">
        <oddFooter>&amp;C&amp;8&amp;P</oddFooter>
      </headerFooter>
    </customSheetView>
    <customSheetView guid="{80622567-647A-4891-B8EE-6B9E2C4DAC44}" scale="85" showPageBreaks="1" showGridLines="0" outlineSymbols="0" printArea="1" topLeftCell="A82">
      <pane xSplit="2" topLeftCell="K1" activePane="topRight" state="frozen"/>
      <selection pane="topRight" activeCell="B116" sqref="B116"/>
      <rowBreaks count="1" manualBreakCount="1">
        <brk id="70" min="1" max="36" man="1"/>
      </rowBreaks>
      <pageMargins left="0.25" right="0.25" top="0.5" bottom="0.25" header="0" footer="0.25"/>
      <pageSetup scale="38" firstPageNumber="24" fitToHeight="2" orientation="landscape" useFirstPageNumber="1" r:id="rId6"/>
      <headerFooter scaleWithDoc="0" alignWithMargins="0">
        <oddFooter>&amp;C&amp;8&amp;P</oddFooter>
      </headerFooter>
    </customSheetView>
    <customSheetView guid="{A97EE6C3-4DA8-41BD-BE43-F596EFCB43CA}" scale="75" showPageBreaks="1" showGridLines="0" outlineSymbols="0" printArea="1" topLeftCell="J79">
      <selection activeCell="P20" sqref="P20"/>
      <rowBreaks count="1" manualBreakCount="1">
        <brk id="70" min="1" max="36" man="1"/>
      </rowBreaks>
      <pageMargins left="0.25" right="0.25" top="0.59" bottom="0.25" header="0" footer="0.25"/>
      <pageSetup scale="39" firstPageNumber="24" fitToHeight="2" orientation="landscape" useFirstPageNumber="1" r:id="rId7"/>
      <headerFooter scaleWithDoc="0" alignWithMargins="0">
        <oddFooter>&amp;C&amp;8&amp;P</oddFooter>
      </headerFooter>
    </customSheetView>
    <customSheetView guid="{90B76C5A-2FC4-40F0-8436-3E4F075A4887}" scale="70" showPageBreaks="1" showGridLines="0" outlineSymbols="0" printArea="1" topLeftCell="A7">
      <selection activeCell="P22" sqref="P22"/>
      <rowBreaks count="1" manualBreakCount="1">
        <brk id="70" max="38" man="1"/>
      </rowBreaks>
      <pageMargins left="0.25" right="0.25" top="0.5" bottom="0.25" header="0" footer="0.25"/>
      <pageSetup scale="38" firstPageNumber="24" fitToHeight="2" orientation="landscape" useFirstPageNumber="1" r:id="rId8"/>
      <headerFooter scaleWithDoc="0" alignWithMargins="0">
        <oddFooter>&amp;C&amp;8&amp;P</oddFooter>
      </headerFooter>
    </customSheetView>
  </customSheetViews>
  <mergeCells count="1">
    <mergeCell ref="AG9:AK9"/>
  </mergeCells>
  <pageMargins left="0.25" right="0.25" top="0.5" bottom="0.25" header="0" footer="0.25"/>
  <pageSetup scale="40" firstPageNumber="24" orientation="landscape" useFirstPageNumber="1" r:id="rId9"/>
  <headerFooter scaleWithDoc="0" alignWithMargins="0">
    <oddFooter>&amp;C&amp;8&amp;P</oddFooter>
  </headerFooter>
  <rowBreaks count="1" manualBreakCount="1">
    <brk id="80" min="1" max="38" man="1"/>
  </rowBreaks>
  <ignoredErrors>
    <ignoredError sqref="AM82 AM16 AM20:AM35 AM44 AM56 AM49 AM61 AM68 AM37:AM42" unlockedFormula="1"/>
    <ignoredError sqref="AM80" evalError="1"/>
  </ignoredErrors>
</worksheet>
</file>

<file path=xl/worksheets/sheet21.xml><?xml version="1.0" encoding="utf-8"?>
<worksheet xmlns="http://schemas.openxmlformats.org/spreadsheetml/2006/main" xmlns:r="http://schemas.openxmlformats.org/officeDocument/2006/relationships">
  <sheetPr codeName="Sheet19"/>
  <dimension ref="A1:AZ139"/>
  <sheetViews>
    <sheetView showGridLines="0" showOutlineSymbols="0" zoomScale="70" zoomScaleNormal="80" workbookViewId="0"/>
  </sheetViews>
  <sheetFormatPr defaultColWidth="8.88671875" defaultRowHeight="12.75"/>
  <cols>
    <col min="1" max="1" width="1.6640625" style="462" customWidth="1"/>
    <col min="2" max="2" width="44.88671875" style="462" customWidth="1"/>
    <col min="3" max="3" width="1.6640625" style="462" customWidth="1"/>
    <col min="4" max="4" width="15" style="462" bestFit="1" customWidth="1"/>
    <col min="5" max="5" width="1.6640625" style="462" customWidth="1"/>
    <col min="6" max="6" width="12" style="462" customWidth="1"/>
    <col min="7" max="7" width="1.6640625" style="462" customWidth="1"/>
    <col min="8" max="8" width="11" style="462" bestFit="1" customWidth="1"/>
    <col min="9" max="9" width="1.6640625" style="462" customWidth="1"/>
    <col min="10" max="10" width="10.5546875" style="462" customWidth="1"/>
    <col min="11" max="11" width="1.6640625" style="462" customWidth="1"/>
    <col min="12" max="12" width="11.33203125" style="462" customWidth="1"/>
    <col min="13" max="13" width="1.6640625" style="462" customWidth="1"/>
    <col min="14" max="14" width="12.21875" style="462" customWidth="1"/>
    <col min="15" max="15" width="1.6640625" style="462" customWidth="1"/>
    <col min="16" max="16" width="10.44140625" style="462" bestFit="1" customWidth="1"/>
    <col min="17" max="17" width="1.6640625" style="462" customWidth="1"/>
    <col min="18" max="18" width="11.44140625" style="462" bestFit="1" customWidth="1"/>
    <col min="19" max="19" width="1.6640625" style="462" customWidth="1"/>
    <col min="20" max="20" width="11.44140625" style="462" customWidth="1"/>
    <col min="21" max="21" width="1.6640625" style="462" customWidth="1"/>
    <col min="22" max="22" width="10" style="462" bestFit="1" customWidth="1"/>
    <col min="23" max="23" width="1.6640625" style="462" customWidth="1"/>
    <col min="24" max="24" width="11" style="462" bestFit="1" customWidth="1"/>
    <col min="25" max="25" width="1.6640625" style="462" customWidth="1"/>
    <col min="26" max="26" width="8.6640625" style="462" customWidth="1"/>
    <col min="27" max="27" width="1" style="462" customWidth="1"/>
    <col min="28" max="28" width="12.33203125" style="462" customWidth="1"/>
    <col min="29" max="30" width="1.6640625" style="462" customWidth="1"/>
    <col min="31" max="31" width="12.21875" style="462" customWidth="1"/>
    <col min="32" max="33" width="1.33203125" style="462" customWidth="1"/>
    <col min="34" max="34" width="11.77734375" style="462" customWidth="1"/>
    <col min="35" max="35" width="1.44140625" style="462" customWidth="1"/>
    <col min="36" max="36" width="0.77734375" style="462" customWidth="1"/>
    <col min="37" max="37" width="13.109375" style="462" bestFit="1" customWidth="1"/>
    <col min="38" max="38" width="0.6640625" style="462" customWidth="1"/>
    <col min="39" max="39" width="13.6640625" style="1735" bestFit="1" customWidth="1"/>
    <col min="40" max="16384" width="8.88671875" style="462"/>
  </cols>
  <sheetData>
    <row r="1" spans="1:42" ht="15">
      <c r="B1" s="1227" t="s">
        <v>1322</v>
      </c>
    </row>
    <row r="2" spans="1:42" ht="15.75">
      <c r="A2" s="461"/>
      <c r="M2" s="225"/>
      <c r="N2" s="225"/>
      <c r="O2" s="506"/>
    </row>
    <row r="3" spans="1:42" ht="18">
      <c r="A3" s="461"/>
      <c r="B3" s="466" t="s">
        <v>0</v>
      </c>
      <c r="M3" s="225"/>
      <c r="N3" s="225"/>
      <c r="O3" s="506"/>
      <c r="AG3" s="539"/>
      <c r="AH3" s="539"/>
      <c r="AI3" s="539"/>
      <c r="AJ3" s="539"/>
      <c r="AK3" s="539"/>
      <c r="AL3" s="539"/>
      <c r="AM3" s="469" t="s">
        <v>177</v>
      </c>
    </row>
    <row r="4" spans="1:42" ht="18">
      <c r="A4" s="461"/>
      <c r="B4" s="466" t="s">
        <v>187</v>
      </c>
      <c r="L4" s="225"/>
      <c r="M4" s="225"/>
      <c r="O4" s="506"/>
    </row>
    <row r="5" spans="1:42" ht="18">
      <c r="A5" s="461"/>
      <c r="B5" s="471" t="s">
        <v>1613</v>
      </c>
      <c r="L5" s="506"/>
      <c r="M5" s="506"/>
      <c r="O5" s="506"/>
      <c r="X5" s="540"/>
    </row>
    <row r="6" spans="1:42" ht="20.25">
      <c r="A6" s="461"/>
      <c r="B6" s="471" t="s">
        <v>1175</v>
      </c>
      <c r="L6" s="506"/>
      <c r="M6" s="506"/>
      <c r="O6" s="506"/>
      <c r="AM6" s="1736"/>
    </row>
    <row r="7" spans="1:42" ht="18">
      <c r="A7" s="461"/>
      <c r="B7" s="466" t="s">
        <v>1628</v>
      </c>
      <c r="AJ7" s="357"/>
      <c r="AK7" s="357"/>
      <c r="AL7" s="357"/>
      <c r="AM7" s="1737"/>
    </row>
    <row r="8" spans="1:42" ht="13.5" customHeight="1">
      <c r="A8" s="461"/>
      <c r="B8" s="554"/>
      <c r="AJ8" s="357"/>
      <c r="AK8" s="357"/>
      <c r="AL8" s="357"/>
      <c r="AM8" s="1737"/>
    </row>
    <row r="9" spans="1:42" ht="19.5" customHeight="1">
      <c r="A9" s="461"/>
      <c r="L9" s="506"/>
      <c r="M9" s="506"/>
      <c r="N9" s="506"/>
      <c r="O9" s="506"/>
      <c r="AD9" s="555"/>
      <c r="AE9" s="542"/>
      <c r="AF9" s="542"/>
      <c r="AG9" s="3362" t="str">
        <f>+'Exhibit G'!AF10</f>
        <v>7 Months Ended October 31</v>
      </c>
      <c r="AH9" s="3362"/>
      <c r="AI9" s="3362"/>
      <c r="AJ9" s="3362"/>
      <c r="AK9" s="3362"/>
      <c r="AL9" s="541"/>
      <c r="AM9" s="1738"/>
    </row>
    <row r="10" spans="1:42" ht="19.5" customHeight="1">
      <c r="A10" s="461"/>
      <c r="B10" s="556"/>
      <c r="D10" s="1639"/>
      <c r="E10" s="1639"/>
      <c r="F10" s="1639"/>
      <c r="G10" s="1639"/>
      <c r="H10" s="1639"/>
      <c r="I10" s="1639"/>
      <c r="J10" s="1639"/>
      <c r="K10" s="1639"/>
      <c r="L10" s="1640"/>
      <c r="M10" s="1640"/>
      <c r="N10" s="1640"/>
      <c r="O10" s="1640"/>
      <c r="P10" s="1639"/>
      <c r="Q10" s="1639"/>
      <c r="R10" s="1639"/>
      <c r="S10" s="1639"/>
      <c r="T10" s="1639"/>
      <c r="U10" s="1639"/>
      <c r="V10" s="1639"/>
      <c r="W10" s="1639"/>
      <c r="X10" s="1639"/>
      <c r="Y10" s="1639"/>
      <c r="Z10" s="1639"/>
      <c r="AA10" s="1639"/>
      <c r="AB10" s="1634" t="s">
        <v>1604</v>
      </c>
      <c r="AC10" s="1639"/>
      <c r="AD10" s="1643"/>
      <c r="AE10" s="1639"/>
      <c r="AF10" s="1639"/>
      <c r="AG10" s="1639"/>
      <c r="AH10" s="1639"/>
      <c r="AI10" s="1639"/>
      <c r="AJ10" s="1639"/>
      <c r="AK10" s="1639"/>
      <c r="AL10" s="1639"/>
      <c r="AM10" s="1739"/>
      <c r="AN10" s="1639"/>
      <c r="AO10" s="1639"/>
      <c r="AP10" s="1639"/>
    </row>
    <row r="11" spans="1:42" ht="13.5" customHeight="1">
      <c r="A11" s="461"/>
      <c r="B11" s="226"/>
      <c r="C11" s="226"/>
      <c r="D11" s="1627">
        <v>2014</v>
      </c>
      <c r="E11" s="225"/>
      <c r="F11" s="225"/>
      <c r="G11" s="225"/>
      <c r="H11" s="225"/>
      <c r="I11" s="225"/>
      <c r="J11" s="225"/>
      <c r="K11" s="225"/>
      <c r="L11" s="225"/>
      <c r="M11" s="225"/>
      <c r="N11" s="225"/>
      <c r="O11" s="225"/>
      <c r="P11" s="225"/>
      <c r="Q11" s="225"/>
      <c r="R11" s="225"/>
      <c r="S11" s="225"/>
      <c r="T11" s="225"/>
      <c r="U11" s="225"/>
      <c r="V11" s="1627">
        <v>2015</v>
      </c>
      <c r="W11" s="225"/>
      <c r="X11" s="225"/>
      <c r="Y11" s="225"/>
      <c r="Z11" s="225"/>
      <c r="AA11" s="225"/>
      <c r="AB11" s="1634" t="s">
        <v>1605</v>
      </c>
      <c r="AC11" s="225"/>
      <c r="AD11" s="225"/>
      <c r="AE11" s="418"/>
      <c r="AF11" s="418"/>
      <c r="AG11" s="418"/>
      <c r="AH11" s="418"/>
      <c r="AI11" s="418"/>
      <c r="AJ11" s="417"/>
      <c r="AK11" s="1634" t="s">
        <v>8</v>
      </c>
      <c r="AL11" s="1634"/>
      <c r="AM11" s="1740" t="s">
        <v>9</v>
      </c>
      <c r="AN11" s="1639"/>
      <c r="AO11" s="1639"/>
      <c r="AP11" s="1639"/>
    </row>
    <row r="12" spans="1:42" ht="15.75">
      <c r="A12" s="461"/>
      <c r="B12" s="226"/>
      <c r="C12" s="226"/>
      <c r="D12" s="1613" t="s">
        <v>131</v>
      </c>
      <c r="E12" s="225"/>
      <c r="F12" s="1613" t="s">
        <v>132</v>
      </c>
      <c r="G12" s="225"/>
      <c r="H12" s="1613" t="s">
        <v>133</v>
      </c>
      <c r="I12" s="225"/>
      <c r="J12" s="1613" t="s">
        <v>134</v>
      </c>
      <c r="K12" s="225"/>
      <c r="L12" s="1613" t="s">
        <v>135</v>
      </c>
      <c r="M12" s="225"/>
      <c r="N12" s="1613" t="s">
        <v>136</v>
      </c>
      <c r="O12" s="225"/>
      <c r="P12" s="1613" t="s">
        <v>137</v>
      </c>
      <c r="Q12" s="225"/>
      <c r="R12" s="1613" t="s">
        <v>138</v>
      </c>
      <c r="S12" s="225"/>
      <c r="T12" s="1613" t="s">
        <v>139</v>
      </c>
      <c r="U12" s="225"/>
      <c r="V12" s="1613" t="s">
        <v>156</v>
      </c>
      <c r="W12" s="225"/>
      <c r="X12" s="1613" t="s">
        <v>141</v>
      </c>
      <c r="Y12" s="225"/>
      <c r="Z12" s="1613" t="s">
        <v>142</v>
      </c>
      <c r="AA12" s="1613"/>
      <c r="AB12" s="2364" t="s">
        <v>1606</v>
      </c>
      <c r="AC12" s="225"/>
      <c r="AD12" s="225"/>
      <c r="AE12" s="1627">
        <v>2014</v>
      </c>
      <c r="AF12" s="1627"/>
      <c r="AG12" s="225" t="s">
        <v>16</v>
      </c>
      <c r="AH12" s="1627">
        <v>2013</v>
      </c>
      <c r="AI12" s="1612"/>
      <c r="AJ12" s="417"/>
      <c r="AK12" s="1642" t="s">
        <v>13</v>
      </c>
      <c r="AL12" s="1632"/>
      <c r="AM12" s="1741" t="s">
        <v>14</v>
      </c>
      <c r="AN12" s="1639"/>
      <c r="AO12" s="1639"/>
      <c r="AP12" s="1639"/>
    </row>
    <row r="13" spans="1:42" ht="15">
      <c r="A13" s="461"/>
      <c r="B13" s="226"/>
      <c r="C13" s="226"/>
      <c r="D13" s="239"/>
      <c r="E13" s="226"/>
      <c r="F13" s="239"/>
      <c r="G13" s="226"/>
      <c r="H13" s="239"/>
      <c r="I13" s="226"/>
      <c r="J13" s="239"/>
      <c r="K13" s="226"/>
      <c r="L13" s="239"/>
      <c r="M13" s="226"/>
      <c r="N13" s="514"/>
      <c r="O13" s="226"/>
      <c r="P13" s="239"/>
      <c r="Q13" s="226"/>
      <c r="R13" s="239"/>
      <c r="S13" s="226"/>
      <c r="T13" s="239"/>
      <c r="U13" s="226"/>
      <c r="V13" s="239"/>
      <c r="W13" s="226"/>
      <c r="X13" s="239"/>
      <c r="Y13" s="226"/>
      <c r="Z13" s="239"/>
      <c r="AA13" s="233"/>
      <c r="AB13" s="233"/>
      <c r="AC13" s="226"/>
      <c r="AD13" s="2359"/>
      <c r="AE13" s="239"/>
      <c r="AF13" s="239"/>
      <c r="AG13" s="2359"/>
      <c r="AH13" s="239"/>
      <c r="AI13" s="233"/>
      <c r="AJ13" s="515"/>
      <c r="AK13" s="226"/>
      <c r="AL13" s="226"/>
      <c r="AM13" s="504"/>
    </row>
    <row r="14" spans="1:42" ht="15">
      <c r="A14" s="461"/>
      <c r="B14" s="226"/>
      <c r="C14" s="226"/>
      <c r="D14" s="233"/>
      <c r="E14" s="226"/>
      <c r="F14" s="233"/>
      <c r="G14" s="226"/>
      <c r="H14" s="233"/>
      <c r="I14" s="226"/>
      <c r="J14" s="233"/>
      <c r="K14" s="226"/>
      <c r="L14" s="233"/>
      <c r="M14" s="226"/>
      <c r="N14" s="2358"/>
      <c r="O14" s="226"/>
      <c r="P14" s="233"/>
      <c r="Q14" s="226"/>
      <c r="R14" s="233"/>
      <c r="S14" s="226"/>
      <c r="T14" s="233"/>
      <c r="U14" s="226"/>
      <c r="V14" s="233"/>
      <c r="W14" s="226"/>
      <c r="X14" s="233"/>
      <c r="Y14" s="226"/>
      <c r="Z14" s="233"/>
      <c r="AA14" s="233"/>
      <c r="AB14" s="233"/>
      <c r="AC14" s="226"/>
      <c r="AD14" s="2359"/>
      <c r="AE14" s="233"/>
      <c r="AF14" s="233"/>
      <c r="AG14" s="2359"/>
      <c r="AH14" s="233"/>
      <c r="AI14" s="233"/>
      <c r="AJ14" s="515"/>
      <c r="AK14" s="226"/>
      <c r="AL14" s="226"/>
      <c r="AM14" s="504"/>
    </row>
    <row r="15" spans="1:42" ht="15" customHeight="1">
      <c r="A15" s="357"/>
      <c r="B15" s="225" t="s">
        <v>15</v>
      </c>
      <c r="C15" s="227"/>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420"/>
      <c r="AE15" s="226"/>
      <c r="AF15" s="226"/>
      <c r="AG15" s="544"/>
      <c r="AH15" s="226"/>
      <c r="AI15" s="519"/>
      <c r="AJ15" s="233"/>
      <c r="AK15" s="545"/>
      <c r="AL15" s="545"/>
      <c r="AM15" s="558"/>
    </row>
    <row r="16" spans="1:42" ht="7.5" customHeight="1">
      <c r="A16" s="357"/>
      <c r="B16" s="227"/>
      <c r="C16" s="227"/>
      <c r="D16" s="377"/>
      <c r="E16" s="372"/>
      <c r="F16" s="377"/>
      <c r="G16" s="372"/>
      <c r="H16" s="377"/>
      <c r="I16" s="372"/>
      <c r="J16" s="377"/>
      <c r="K16" s="372"/>
      <c r="L16" s="377"/>
      <c r="M16" s="372"/>
      <c r="N16" s="377"/>
      <c r="O16" s="372"/>
      <c r="P16" s="377"/>
      <c r="Q16" s="372"/>
      <c r="R16" s="377"/>
      <c r="S16" s="372"/>
      <c r="T16" s="377"/>
      <c r="U16" s="372"/>
      <c r="V16" s="377"/>
      <c r="W16" s="265"/>
      <c r="X16" s="377"/>
      <c r="Y16" s="265"/>
      <c r="Z16" s="377"/>
      <c r="AA16" s="377"/>
      <c r="AB16" s="377"/>
      <c r="AC16" s="372"/>
      <c r="AD16" s="478"/>
      <c r="AE16" s="265"/>
      <c r="AF16" s="488"/>
      <c r="AG16" s="546"/>
      <c r="AH16" s="377"/>
      <c r="AI16" s="548"/>
      <c r="AJ16" s="233"/>
      <c r="AK16" s="2176"/>
      <c r="AL16" s="1214"/>
      <c r="AM16" s="2040"/>
    </row>
    <row r="17" spans="1:40" ht="15" customHeight="1">
      <c r="A17" s="357"/>
      <c r="B17" s="495" t="s">
        <v>1428</v>
      </c>
      <c r="C17" s="227"/>
      <c r="D17" s="278"/>
      <c r="E17" s="372"/>
      <c r="F17" s="377"/>
      <c r="G17" s="372"/>
      <c r="H17" s="346"/>
      <c r="I17" s="372"/>
      <c r="J17" s="346"/>
      <c r="K17" s="372"/>
      <c r="L17" s="346"/>
      <c r="M17" s="372"/>
      <c r="N17" s="346"/>
      <c r="O17" s="372"/>
      <c r="P17" s="557"/>
      <c r="Q17" s="372"/>
      <c r="R17" s="376"/>
      <c r="S17" s="372"/>
      <c r="T17" s="377"/>
      <c r="U17" s="372"/>
      <c r="V17" s="278"/>
      <c r="W17" s="265"/>
      <c r="X17" s="278"/>
      <c r="Y17" s="265"/>
      <c r="Z17" s="278"/>
      <c r="AA17" s="278"/>
      <c r="AB17" s="278"/>
      <c r="AC17" s="372"/>
      <c r="AD17" s="478"/>
      <c r="AE17" s="265"/>
      <c r="AF17" s="265"/>
      <c r="AG17" s="256"/>
      <c r="AH17" s="265"/>
      <c r="AI17" s="520"/>
      <c r="AJ17" s="253"/>
      <c r="AK17" s="2176"/>
      <c r="AL17" s="2176"/>
      <c r="AM17" s="1311"/>
    </row>
    <row r="18" spans="1:40" ht="15" customHeight="1">
      <c r="A18" s="357"/>
      <c r="B18" s="1979" t="s">
        <v>1561</v>
      </c>
      <c r="C18" s="227"/>
      <c r="D18" s="278"/>
      <c r="E18" s="372"/>
      <c r="F18" s="377"/>
      <c r="G18" s="372"/>
      <c r="H18" s="346"/>
      <c r="I18" s="372"/>
      <c r="J18" s="346"/>
      <c r="K18" s="372"/>
      <c r="L18" s="346"/>
      <c r="M18" s="372"/>
      <c r="N18" s="346"/>
      <c r="O18" s="372"/>
      <c r="P18" s="557"/>
      <c r="Q18" s="372"/>
      <c r="R18" s="376"/>
      <c r="S18" s="372"/>
      <c r="T18" s="377"/>
      <c r="U18" s="372"/>
      <c r="V18" s="278"/>
      <c r="W18" s="265"/>
      <c r="X18" s="278"/>
      <c r="Y18" s="265"/>
      <c r="Z18" s="278"/>
      <c r="AA18" s="278"/>
      <c r="AB18" s="278"/>
      <c r="AC18" s="372"/>
      <c r="AD18" s="478"/>
      <c r="AE18" s="265"/>
      <c r="AF18" s="265"/>
      <c r="AG18" s="256"/>
      <c r="AH18" s="265"/>
      <c r="AI18" s="520"/>
      <c r="AJ18" s="253"/>
      <c r="AK18" s="2176"/>
      <c r="AL18" s="2176"/>
      <c r="AM18" s="1311"/>
    </row>
    <row r="19" spans="1:40" ht="15" customHeight="1">
      <c r="A19" s="357"/>
      <c r="B19" s="1979" t="s">
        <v>1461</v>
      </c>
      <c r="C19" s="227"/>
      <c r="D19" s="1980">
        <v>0</v>
      </c>
      <c r="E19" s="1981"/>
      <c r="F19" s="3213">
        <v>0</v>
      </c>
      <c r="G19" s="1981"/>
      <c r="H19" s="1981">
        <v>0</v>
      </c>
      <c r="I19" s="1981"/>
      <c r="J19" s="1981">
        <v>0</v>
      </c>
      <c r="K19" s="1295"/>
      <c r="L19" s="1981">
        <v>0</v>
      </c>
      <c r="M19" s="1295"/>
      <c r="N19" s="1981">
        <v>0</v>
      </c>
      <c r="O19" s="1857"/>
      <c r="P19" s="1981">
        <v>0</v>
      </c>
      <c r="Q19" s="1857"/>
      <c r="R19" s="2931"/>
      <c r="S19" s="1857"/>
      <c r="T19" s="1296"/>
      <c r="U19" s="1857"/>
      <c r="V19" s="1372"/>
      <c r="W19" s="1214"/>
      <c r="X19" s="1372"/>
      <c r="Y19" s="1214"/>
      <c r="Z19" s="1372"/>
      <c r="AA19" s="1372"/>
      <c r="AB19" s="1981">
        <v>0</v>
      </c>
      <c r="AC19" s="1857"/>
      <c r="AD19" s="3094"/>
      <c r="AE19" s="1981">
        <f>ROUND(SUM(D19:AB19),1)</f>
        <v>0</v>
      </c>
      <c r="AF19" s="1214"/>
      <c r="AG19" s="3130"/>
      <c r="AH19" s="1981">
        <v>0</v>
      </c>
      <c r="AI19" s="3095"/>
      <c r="AJ19" s="2176"/>
      <c r="AK19" s="1981">
        <f>ROUND(SUM(+AE19-AH19),1)</f>
        <v>0</v>
      </c>
      <c r="AL19" s="2176"/>
      <c r="AM19" s="3249">
        <f>ROUND(IF(AH19=0,0,AK19/(AH19)),3)</f>
        <v>0</v>
      </c>
    </row>
    <row r="20" spans="1:40" ht="15" customHeight="1">
      <c r="A20" s="357"/>
      <c r="B20" s="1979" t="s">
        <v>1562</v>
      </c>
      <c r="C20" s="227"/>
      <c r="D20" s="278"/>
      <c r="E20" s="372"/>
      <c r="F20" s="377"/>
      <c r="G20" s="372"/>
      <c r="H20" s="346"/>
      <c r="I20" s="372"/>
      <c r="J20" s="346"/>
      <c r="K20" s="372"/>
      <c r="L20" s="346"/>
      <c r="M20" s="372"/>
      <c r="N20" s="278"/>
      <c r="O20" s="372"/>
      <c r="P20" s="557"/>
      <c r="Q20" s="372"/>
      <c r="R20" s="376"/>
      <c r="S20" s="372"/>
      <c r="T20" s="377"/>
      <c r="U20" s="372"/>
      <c r="V20" s="278"/>
      <c r="W20" s="265"/>
      <c r="X20" s="278"/>
      <c r="Y20" s="265"/>
      <c r="Z20" s="278"/>
      <c r="AA20" s="278"/>
      <c r="AB20" s="278"/>
      <c r="AC20" s="372"/>
      <c r="AD20" s="478"/>
      <c r="AE20" s="265"/>
      <c r="AF20" s="265"/>
      <c r="AG20" s="256"/>
      <c r="AH20" s="265"/>
      <c r="AI20" s="520"/>
      <c r="AJ20" s="253"/>
      <c r="AK20" s="2176"/>
      <c r="AL20" s="2176"/>
      <c r="AM20" s="3260"/>
    </row>
    <row r="21" spans="1:40" ht="15" customHeight="1">
      <c r="A21" s="357"/>
      <c r="B21" s="1979" t="s">
        <v>1463</v>
      </c>
      <c r="C21" s="227"/>
      <c r="D21" s="278">
        <v>3.4</v>
      </c>
      <c r="E21" s="372"/>
      <c r="F21" s="377">
        <v>30.5</v>
      </c>
      <c r="G21" s="372"/>
      <c r="H21" s="323">
        <v>0.1</v>
      </c>
      <c r="I21" s="372"/>
      <c r="J21" s="323">
        <v>2.2999999999999998</v>
      </c>
      <c r="K21" s="372"/>
      <c r="L21" s="323">
        <v>8.9</v>
      </c>
      <c r="M21" s="372"/>
      <c r="N21" s="1245">
        <v>0.2</v>
      </c>
      <c r="O21" s="372"/>
      <c r="P21" s="1245">
        <v>1.1000000000000001</v>
      </c>
      <c r="Q21" s="372"/>
      <c r="R21" s="376"/>
      <c r="S21" s="372"/>
      <c r="T21" s="377"/>
      <c r="U21" s="372"/>
      <c r="V21" s="278"/>
      <c r="W21" s="265"/>
      <c r="X21" s="278"/>
      <c r="Y21" s="265"/>
      <c r="Z21" s="278"/>
      <c r="AA21" s="278"/>
      <c r="AB21" s="1245">
        <v>0</v>
      </c>
      <c r="AC21" s="372"/>
      <c r="AD21" s="478"/>
      <c r="AE21" s="265">
        <f>ROUND(SUM(D21:AB21),1)</f>
        <v>46.5</v>
      </c>
      <c r="AF21" s="265"/>
      <c r="AG21" s="256"/>
      <c r="AH21" s="265">
        <v>39.6</v>
      </c>
      <c r="AI21" s="520"/>
      <c r="AJ21" s="253"/>
      <c r="AK21" s="2176">
        <f t="shared" ref="AK21:AK51" si="0">ROUND(SUM(+AE21-AH21),1)</f>
        <v>6.9</v>
      </c>
      <c r="AL21" s="2176"/>
      <c r="AM21" s="3249">
        <f>ROUND(IF(AH21=0,0,AK21/(AH21)),3)</f>
        <v>0.17399999999999999</v>
      </c>
      <c r="AN21" s="3074"/>
    </row>
    <row r="22" spans="1:40" ht="15" customHeight="1">
      <c r="A22" s="357"/>
      <c r="B22" s="1979" t="s">
        <v>1464</v>
      </c>
      <c r="C22" s="227"/>
      <c r="D22" s="278">
        <v>0</v>
      </c>
      <c r="E22" s="372"/>
      <c r="F22" s="377">
        <v>0</v>
      </c>
      <c r="G22" s="372"/>
      <c r="H22" s="323">
        <v>0</v>
      </c>
      <c r="I22" s="372"/>
      <c r="J22" s="323">
        <v>0</v>
      </c>
      <c r="K22" s="372"/>
      <c r="L22" s="323">
        <v>0</v>
      </c>
      <c r="M22" s="372"/>
      <c r="N22" s="1245">
        <v>0</v>
      </c>
      <c r="O22" s="372"/>
      <c r="P22" s="1245">
        <v>0</v>
      </c>
      <c r="Q22" s="372"/>
      <c r="R22" s="376"/>
      <c r="S22" s="372"/>
      <c r="T22" s="377"/>
      <c r="U22" s="372"/>
      <c r="V22" s="278"/>
      <c r="W22" s="265"/>
      <c r="X22" s="278"/>
      <c r="Y22" s="265"/>
      <c r="Z22" s="278"/>
      <c r="AA22" s="278"/>
      <c r="AB22" s="1245">
        <v>0</v>
      </c>
      <c r="AC22" s="372"/>
      <c r="AD22" s="478"/>
      <c r="AE22" s="265">
        <f>ROUND(SUM(D22:AB22),1)</f>
        <v>0</v>
      </c>
      <c r="AF22" s="265"/>
      <c r="AG22" s="256"/>
      <c r="AH22" s="265">
        <v>0</v>
      </c>
      <c r="AI22" s="520"/>
      <c r="AJ22" s="253"/>
      <c r="AK22" s="2176">
        <f t="shared" si="0"/>
        <v>0</v>
      </c>
      <c r="AL22" s="2176"/>
      <c r="AM22" s="3249">
        <f>ROUND(IF(AH22=0,0,AK22/(AH22)),3)</f>
        <v>0</v>
      </c>
    </row>
    <row r="23" spans="1:40" ht="15" customHeight="1">
      <c r="A23" s="357"/>
      <c r="B23" s="1979" t="s">
        <v>1465</v>
      </c>
      <c r="C23" s="227"/>
      <c r="D23" s="278">
        <v>0</v>
      </c>
      <c r="E23" s="372"/>
      <c r="F23" s="377">
        <v>0</v>
      </c>
      <c r="G23" s="372"/>
      <c r="H23" s="323">
        <v>0</v>
      </c>
      <c r="I23" s="372"/>
      <c r="J23" s="323">
        <v>0</v>
      </c>
      <c r="K23" s="372"/>
      <c r="L23" s="323">
        <v>0</v>
      </c>
      <c r="M23" s="372"/>
      <c r="N23" s="1245">
        <v>0</v>
      </c>
      <c r="O23" s="372"/>
      <c r="P23" s="1245">
        <v>0</v>
      </c>
      <c r="Q23" s="372"/>
      <c r="R23" s="376"/>
      <c r="S23" s="372"/>
      <c r="T23" s="377"/>
      <c r="U23" s="372"/>
      <c r="V23" s="278"/>
      <c r="W23" s="265"/>
      <c r="X23" s="278"/>
      <c r="Y23" s="265"/>
      <c r="Z23" s="278"/>
      <c r="AA23" s="278"/>
      <c r="AB23" s="1245">
        <v>0</v>
      </c>
      <c r="AC23" s="372"/>
      <c r="AD23" s="478"/>
      <c r="AE23" s="265">
        <f>ROUND(SUM(D23:AB23),1)</f>
        <v>0</v>
      </c>
      <c r="AF23" s="265"/>
      <c r="AG23" s="256"/>
      <c r="AH23" s="265">
        <v>0</v>
      </c>
      <c r="AI23" s="520"/>
      <c r="AJ23" s="253"/>
      <c r="AK23" s="2176">
        <f t="shared" si="0"/>
        <v>0</v>
      </c>
      <c r="AL23" s="2176"/>
      <c r="AM23" s="3249">
        <f t="shared" ref="AM23:AM31" si="1">ROUND(IF(AH23=0,0,AK23/(AH23)),3)</f>
        <v>0</v>
      </c>
    </row>
    <row r="24" spans="1:40" ht="15" customHeight="1">
      <c r="A24" s="357"/>
      <c r="B24" s="1979" t="s">
        <v>1466</v>
      </c>
      <c r="C24" s="227"/>
      <c r="D24" s="278">
        <v>0</v>
      </c>
      <c r="E24" s="372"/>
      <c r="F24" s="377">
        <v>0</v>
      </c>
      <c r="G24" s="372"/>
      <c r="H24" s="323">
        <v>0</v>
      </c>
      <c r="I24" s="372"/>
      <c r="J24" s="323">
        <v>0</v>
      </c>
      <c r="K24" s="372"/>
      <c r="L24" s="323">
        <v>0</v>
      </c>
      <c r="M24" s="372"/>
      <c r="N24" s="1245">
        <v>0</v>
      </c>
      <c r="O24" s="372"/>
      <c r="P24" s="1245">
        <v>0</v>
      </c>
      <c r="Q24" s="372"/>
      <c r="R24" s="376"/>
      <c r="S24" s="372"/>
      <c r="T24" s="377"/>
      <c r="U24" s="372"/>
      <c r="V24" s="278"/>
      <c r="W24" s="265"/>
      <c r="X24" s="278"/>
      <c r="Y24" s="265"/>
      <c r="Z24" s="278"/>
      <c r="AA24" s="278"/>
      <c r="AB24" s="1245">
        <v>0</v>
      </c>
      <c r="AC24" s="372"/>
      <c r="AD24" s="478"/>
      <c r="AE24" s="265">
        <f>ROUND(SUM(D24:AB24),1)</f>
        <v>0</v>
      </c>
      <c r="AF24" s="265"/>
      <c r="AG24" s="256"/>
      <c r="AH24" s="265">
        <v>0</v>
      </c>
      <c r="AI24" s="520"/>
      <c r="AJ24" s="253"/>
      <c r="AK24" s="2176">
        <f t="shared" si="0"/>
        <v>0</v>
      </c>
      <c r="AL24" s="2176"/>
      <c r="AM24" s="3249">
        <f t="shared" si="1"/>
        <v>0</v>
      </c>
    </row>
    <row r="25" spans="1:40" ht="15" customHeight="1">
      <c r="A25" s="357"/>
      <c r="B25" s="1979" t="s">
        <v>1567</v>
      </c>
      <c r="C25" s="227"/>
      <c r="D25" s="278"/>
      <c r="E25" s="372"/>
      <c r="F25" s="377"/>
      <c r="G25" s="372"/>
      <c r="H25" s="346"/>
      <c r="I25" s="372"/>
      <c r="J25" s="346"/>
      <c r="K25" s="372"/>
      <c r="L25" s="346"/>
      <c r="M25" s="372"/>
      <c r="N25" s="278"/>
      <c r="O25" s="372"/>
      <c r="P25" s="557"/>
      <c r="Q25" s="372"/>
      <c r="R25" s="376"/>
      <c r="S25" s="372"/>
      <c r="T25" s="377"/>
      <c r="U25" s="372"/>
      <c r="V25" s="278"/>
      <c r="W25" s="265"/>
      <c r="X25" s="278"/>
      <c r="Y25" s="265"/>
      <c r="Z25" s="278"/>
      <c r="AA25" s="278"/>
      <c r="AB25" s="278"/>
      <c r="AC25" s="372"/>
      <c r="AD25" s="478"/>
      <c r="AE25" s="265"/>
      <c r="AF25" s="265"/>
      <c r="AG25" s="256"/>
      <c r="AH25" s="265"/>
      <c r="AI25" s="520"/>
      <c r="AJ25" s="253"/>
      <c r="AK25" s="2176"/>
      <c r="AL25" s="2176"/>
      <c r="AM25" s="3249"/>
    </row>
    <row r="26" spans="1:40" ht="15" customHeight="1">
      <c r="A26" s="357"/>
      <c r="B26" s="1979" t="s">
        <v>1467</v>
      </c>
      <c r="C26" s="227"/>
      <c r="D26" s="278">
        <v>0</v>
      </c>
      <c r="E26" s="372"/>
      <c r="F26" s="377">
        <v>0</v>
      </c>
      <c r="G26" s="372"/>
      <c r="H26" s="323">
        <v>0</v>
      </c>
      <c r="I26" s="372"/>
      <c r="J26" s="323">
        <v>0</v>
      </c>
      <c r="K26" s="372"/>
      <c r="L26" s="323">
        <v>0</v>
      </c>
      <c r="M26" s="372"/>
      <c r="N26" s="1245">
        <v>0</v>
      </c>
      <c r="O26" s="372"/>
      <c r="P26" s="1245">
        <v>0</v>
      </c>
      <c r="Q26" s="372"/>
      <c r="R26" s="376"/>
      <c r="S26" s="372"/>
      <c r="T26" s="377"/>
      <c r="U26" s="372"/>
      <c r="V26" s="278"/>
      <c r="W26" s="265"/>
      <c r="X26" s="278"/>
      <c r="Y26" s="265"/>
      <c r="Z26" s="278"/>
      <c r="AA26" s="278"/>
      <c r="AB26" s="1245">
        <v>0</v>
      </c>
      <c r="AC26" s="372"/>
      <c r="AD26" s="478"/>
      <c r="AE26" s="265">
        <f t="shared" ref="AE26:AE31" si="2">ROUND(SUM(D26:AB26),1)</f>
        <v>0</v>
      </c>
      <c r="AF26" s="265"/>
      <c r="AG26" s="256"/>
      <c r="AH26" s="265">
        <v>0</v>
      </c>
      <c r="AI26" s="520"/>
      <c r="AJ26" s="253"/>
      <c r="AK26" s="2176">
        <f t="shared" si="0"/>
        <v>0</v>
      </c>
      <c r="AL26" s="2176"/>
      <c r="AM26" s="3249">
        <f t="shared" si="1"/>
        <v>0</v>
      </c>
    </row>
    <row r="27" spans="1:40" ht="15" customHeight="1">
      <c r="A27" s="357"/>
      <c r="B27" s="1979" t="s">
        <v>1468</v>
      </c>
      <c r="C27" s="227"/>
      <c r="D27" s="278">
        <v>0</v>
      </c>
      <c r="E27" s="372"/>
      <c r="F27" s="377">
        <v>0</v>
      </c>
      <c r="G27" s="372"/>
      <c r="H27" s="323">
        <v>0</v>
      </c>
      <c r="I27" s="372"/>
      <c r="J27" s="323">
        <v>0</v>
      </c>
      <c r="K27" s="372"/>
      <c r="L27" s="323">
        <v>0</v>
      </c>
      <c r="M27" s="372"/>
      <c r="N27" s="1245">
        <v>0</v>
      </c>
      <c r="O27" s="372"/>
      <c r="P27" s="1245">
        <v>0</v>
      </c>
      <c r="Q27" s="372"/>
      <c r="R27" s="376"/>
      <c r="S27" s="372"/>
      <c r="T27" s="377"/>
      <c r="U27" s="372"/>
      <c r="V27" s="278"/>
      <c r="W27" s="265"/>
      <c r="X27" s="278"/>
      <c r="Y27" s="265"/>
      <c r="Z27" s="278"/>
      <c r="AA27" s="278"/>
      <c r="AB27" s="1245">
        <v>0</v>
      </c>
      <c r="AC27" s="372"/>
      <c r="AD27" s="478"/>
      <c r="AE27" s="265">
        <f t="shared" si="2"/>
        <v>0</v>
      </c>
      <c r="AF27" s="265"/>
      <c r="AG27" s="256"/>
      <c r="AH27" s="265">
        <v>0</v>
      </c>
      <c r="AI27" s="520"/>
      <c r="AJ27" s="253"/>
      <c r="AK27" s="2176">
        <f t="shared" si="0"/>
        <v>0</v>
      </c>
      <c r="AL27" s="2176"/>
      <c r="AM27" s="3249">
        <f t="shared" si="1"/>
        <v>0</v>
      </c>
    </row>
    <row r="28" spans="1:40" ht="15" customHeight="1">
      <c r="A28" s="357"/>
      <c r="B28" s="1979" t="s">
        <v>1469</v>
      </c>
      <c r="C28" s="227"/>
      <c r="D28" s="278">
        <v>0</v>
      </c>
      <c r="E28" s="372"/>
      <c r="F28" s="377">
        <v>0</v>
      </c>
      <c r="G28" s="372"/>
      <c r="H28" s="323">
        <v>0</v>
      </c>
      <c r="I28" s="372"/>
      <c r="J28" s="323">
        <v>0</v>
      </c>
      <c r="K28" s="372"/>
      <c r="L28" s="323">
        <v>0</v>
      </c>
      <c r="M28" s="372"/>
      <c r="N28" s="1245">
        <v>0</v>
      </c>
      <c r="O28" s="372"/>
      <c r="P28" s="1245">
        <v>0</v>
      </c>
      <c r="Q28" s="372"/>
      <c r="R28" s="376"/>
      <c r="S28" s="372"/>
      <c r="T28" s="377"/>
      <c r="U28" s="372"/>
      <c r="V28" s="278"/>
      <c r="W28" s="265"/>
      <c r="X28" s="278"/>
      <c r="Y28" s="265"/>
      <c r="Z28" s="278"/>
      <c r="AA28" s="278"/>
      <c r="AB28" s="1245">
        <v>0</v>
      </c>
      <c r="AC28" s="372"/>
      <c r="AD28" s="478"/>
      <c r="AE28" s="265">
        <f t="shared" si="2"/>
        <v>0</v>
      </c>
      <c r="AF28" s="265"/>
      <c r="AG28" s="256"/>
      <c r="AH28" s="265">
        <v>0</v>
      </c>
      <c r="AI28" s="520"/>
      <c r="AJ28" s="253"/>
      <c r="AK28" s="2176">
        <f t="shared" si="0"/>
        <v>0</v>
      </c>
      <c r="AL28" s="2176"/>
      <c r="AM28" s="3249">
        <f t="shared" si="1"/>
        <v>0</v>
      </c>
    </row>
    <row r="29" spans="1:40" ht="15" customHeight="1">
      <c r="A29" s="357"/>
      <c r="B29" s="1979" t="s">
        <v>1470</v>
      </c>
      <c r="C29" s="227"/>
      <c r="D29" s="278">
        <v>0</v>
      </c>
      <c r="E29" s="372"/>
      <c r="F29" s="377">
        <v>0</v>
      </c>
      <c r="G29" s="372"/>
      <c r="H29" s="323">
        <v>0</v>
      </c>
      <c r="I29" s="372"/>
      <c r="J29" s="323">
        <v>0</v>
      </c>
      <c r="K29" s="372"/>
      <c r="L29" s="323">
        <v>0</v>
      </c>
      <c r="M29" s="372"/>
      <c r="N29" s="1245">
        <v>0</v>
      </c>
      <c r="O29" s="372"/>
      <c r="P29" s="1245">
        <v>0</v>
      </c>
      <c r="Q29" s="372"/>
      <c r="R29" s="376"/>
      <c r="S29" s="372"/>
      <c r="T29" s="377"/>
      <c r="U29" s="372"/>
      <c r="V29" s="278"/>
      <c r="W29" s="265"/>
      <c r="X29" s="278"/>
      <c r="Y29" s="265"/>
      <c r="Z29" s="278"/>
      <c r="AA29" s="278"/>
      <c r="AB29" s="1245">
        <v>0</v>
      </c>
      <c r="AC29" s="372"/>
      <c r="AD29" s="478"/>
      <c r="AE29" s="265">
        <f t="shared" si="2"/>
        <v>0</v>
      </c>
      <c r="AF29" s="265"/>
      <c r="AG29" s="256"/>
      <c r="AH29" s="265">
        <v>0</v>
      </c>
      <c r="AI29" s="520"/>
      <c r="AJ29" s="253"/>
      <c r="AK29" s="2176">
        <f t="shared" si="0"/>
        <v>0</v>
      </c>
      <c r="AL29" s="2176"/>
      <c r="AM29" s="3249">
        <f t="shared" si="1"/>
        <v>0</v>
      </c>
    </row>
    <row r="30" spans="1:40" ht="15" customHeight="1">
      <c r="A30" s="357"/>
      <c r="B30" s="1979" t="s">
        <v>1471</v>
      </c>
      <c r="C30" s="227"/>
      <c r="D30" s="278">
        <v>0</v>
      </c>
      <c r="E30" s="372"/>
      <c r="F30" s="377">
        <v>0</v>
      </c>
      <c r="G30" s="372"/>
      <c r="H30" s="323">
        <v>0</v>
      </c>
      <c r="I30" s="372"/>
      <c r="J30" s="323">
        <v>0</v>
      </c>
      <c r="K30" s="372"/>
      <c r="L30" s="323">
        <v>0</v>
      </c>
      <c r="M30" s="372"/>
      <c r="N30" s="1245">
        <v>0</v>
      </c>
      <c r="O30" s="372"/>
      <c r="P30" s="1245">
        <v>0</v>
      </c>
      <c r="Q30" s="372"/>
      <c r="R30" s="376"/>
      <c r="S30" s="372"/>
      <c r="T30" s="377"/>
      <c r="U30" s="372"/>
      <c r="V30" s="278"/>
      <c r="W30" s="265"/>
      <c r="X30" s="278"/>
      <c r="Y30" s="265"/>
      <c r="Z30" s="278"/>
      <c r="AA30" s="278"/>
      <c r="AB30" s="1245">
        <v>0</v>
      </c>
      <c r="AC30" s="372"/>
      <c r="AD30" s="478"/>
      <c r="AE30" s="265">
        <f t="shared" si="2"/>
        <v>0</v>
      </c>
      <c r="AF30" s="265"/>
      <c r="AG30" s="256"/>
      <c r="AH30" s="265">
        <v>0</v>
      </c>
      <c r="AI30" s="520"/>
      <c r="AJ30" s="253"/>
      <c r="AK30" s="2176">
        <f t="shared" si="0"/>
        <v>0</v>
      </c>
      <c r="AL30" s="2176"/>
      <c r="AM30" s="3249">
        <f t="shared" si="1"/>
        <v>0</v>
      </c>
    </row>
    <row r="31" spans="1:40" ht="15" customHeight="1">
      <c r="A31" s="357"/>
      <c r="B31" s="1979" t="s">
        <v>1429</v>
      </c>
      <c r="C31" s="227"/>
      <c r="D31" s="278">
        <v>0.7</v>
      </c>
      <c r="E31" s="372"/>
      <c r="F31" s="377">
        <v>0.6</v>
      </c>
      <c r="G31" s="372"/>
      <c r="H31" s="323">
        <v>0.5</v>
      </c>
      <c r="I31" s="372"/>
      <c r="J31" s="323">
        <v>1.5</v>
      </c>
      <c r="K31" s="372"/>
      <c r="L31" s="323">
        <v>0.7</v>
      </c>
      <c r="M31" s="372"/>
      <c r="N31" s="1245">
        <v>0.4</v>
      </c>
      <c r="O31" s="372"/>
      <c r="P31" s="1245">
        <v>1</v>
      </c>
      <c r="Q31" s="372"/>
      <c r="R31" s="376"/>
      <c r="S31" s="372"/>
      <c r="T31" s="377"/>
      <c r="U31" s="372"/>
      <c r="V31" s="278"/>
      <c r="W31" s="265"/>
      <c r="X31" s="278"/>
      <c r="Y31" s="265"/>
      <c r="Z31" s="278"/>
      <c r="AA31" s="278"/>
      <c r="AB31" s="1245">
        <v>0</v>
      </c>
      <c r="AC31" s="372"/>
      <c r="AD31" s="478"/>
      <c r="AE31" s="265">
        <f t="shared" si="2"/>
        <v>5.4</v>
      </c>
      <c r="AF31" s="265"/>
      <c r="AG31" s="256"/>
      <c r="AH31" s="265">
        <v>4.3</v>
      </c>
      <c r="AI31" s="520"/>
      <c r="AJ31" s="253"/>
      <c r="AK31" s="2176">
        <f>ROUND(SUM(+AE31-AH31),1)</f>
        <v>1.1000000000000001</v>
      </c>
      <c r="AL31" s="2176"/>
      <c r="AM31" s="3249">
        <f t="shared" si="1"/>
        <v>0.25600000000000001</v>
      </c>
    </row>
    <row r="32" spans="1:40" ht="15" customHeight="1">
      <c r="A32" s="357"/>
      <c r="B32" s="1979" t="s">
        <v>1430</v>
      </c>
      <c r="C32" s="227"/>
      <c r="D32" s="278">
        <v>0</v>
      </c>
      <c r="E32" s="372"/>
      <c r="F32" s="377">
        <v>0</v>
      </c>
      <c r="G32" s="372"/>
      <c r="H32" s="323">
        <v>0</v>
      </c>
      <c r="I32" s="372"/>
      <c r="J32" s="323">
        <v>0.1</v>
      </c>
      <c r="K32" s="372"/>
      <c r="L32" s="323">
        <v>0</v>
      </c>
      <c r="M32" s="372"/>
      <c r="N32" s="1245">
        <v>0</v>
      </c>
      <c r="O32" s="372"/>
      <c r="P32" s="1245">
        <v>0</v>
      </c>
      <c r="Q32" s="372"/>
      <c r="R32" s="376"/>
      <c r="S32" s="372"/>
      <c r="T32" s="377"/>
      <c r="U32" s="372"/>
      <c r="V32" s="278"/>
      <c r="W32" s="265"/>
      <c r="X32" s="278"/>
      <c r="Y32" s="265"/>
      <c r="Z32" s="278"/>
      <c r="AA32" s="278"/>
      <c r="AB32" s="1245">
        <v>0</v>
      </c>
      <c r="AC32" s="372"/>
      <c r="AD32" s="478"/>
      <c r="AE32" s="265">
        <f>ROUND(SUM(D32:AB32),1)</f>
        <v>0.1</v>
      </c>
      <c r="AF32" s="265"/>
      <c r="AG32" s="256"/>
      <c r="AH32" s="265">
        <v>0.1</v>
      </c>
      <c r="AI32" s="520"/>
      <c r="AJ32" s="253"/>
      <c r="AK32" s="2176">
        <f t="shared" si="0"/>
        <v>0</v>
      </c>
      <c r="AL32" s="2176"/>
      <c r="AM32" s="3249">
        <f>ROUND(IF(AH32=0,0,AK32/(AH32)),3)</f>
        <v>0</v>
      </c>
    </row>
    <row r="33" spans="1:39" ht="15" customHeight="1">
      <c r="A33" s="357"/>
      <c r="B33" s="1979" t="s">
        <v>1565</v>
      </c>
      <c r="C33" s="227"/>
      <c r="D33" s="278"/>
      <c r="E33" s="372"/>
      <c r="F33" s="377"/>
      <c r="G33" s="372"/>
      <c r="H33" s="346"/>
      <c r="I33" s="372"/>
      <c r="J33" s="346"/>
      <c r="K33" s="372"/>
      <c r="L33" s="346"/>
      <c r="M33" s="372"/>
      <c r="N33" s="278"/>
      <c r="O33" s="372"/>
      <c r="P33" s="557"/>
      <c r="Q33" s="372"/>
      <c r="R33" s="376"/>
      <c r="S33" s="372"/>
      <c r="T33" s="377"/>
      <c r="U33" s="372"/>
      <c r="V33" s="278"/>
      <c r="W33" s="265"/>
      <c r="X33" s="278"/>
      <c r="Y33" s="265"/>
      <c r="Z33" s="278"/>
      <c r="AA33" s="278"/>
      <c r="AB33" s="278"/>
      <c r="AC33" s="372"/>
      <c r="AD33" s="478"/>
      <c r="AE33" s="265"/>
      <c r="AF33" s="265"/>
      <c r="AG33" s="256"/>
      <c r="AH33" s="265"/>
      <c r="AI33" s="520"/>
      <c r="AJ33" s="253"/>
      <c r="AK33" s="2176"/>
      <c r="AL33" s="2176"/>
      <c r="AM33" s="3260"/>
    </row>
    <row r="34" spans="1:39" ht="15" customHeight="1">
      <c r="A34" s="357"/>
      <c r="B34" s="1979" t="s">
        <v>1475</v>
      </c>
      <c r="C34" s="227"/>
      <c r="D34" s="278">
        <v>0</v>
      </c>
      <c r="E34" s="372"/>
      <c r="F34" s="377">
        <v>0</v>
      </c>
      <c r="G34" s="372"/>
      <c r="H34" s="323">
        <v>0</v>
      </c>
      <c r="I34" s="372"/>
      <c r="J34" s="323">
        <v>0</v>
      </c>
      <c r="K34" s="372"/>
      <c r="L34" s="323">
        <v>0</v>
      </c>
      <c r="M34" s="372"/>
      <c r="N34" s="1245">
        <v>0</v>
      </c>
      <c r="O34" s="372"/>
      <c r="P34" s="1245">
        <v>0</v>
      </c>
      <c r="Q34" s="372"/>
      <c r="R34" s="376"/>
      <c r="S34" s="372"/>
      <c r="T34" s="377"/>
      <c r="U34" s="372"/>
      <c r="V34" s="278"/>
      <c r="W34" s="265"/>
      <c r="X34" s="278"/>
      <c r="Y34" s="265"/>
      <c r="Z34" s="278"/>
      <c r="AA34" s="278"/>
      <c r="AB34" s="1245">
        <v>0</v>
      </c>
      <c r="AC34" s="372"/>
      <c r="AD34" s="478"/>
      <c r="AE34" s="265">
        <f t="shared" ref="AE34:AE39" si="3">ROUND(SUM(D34:AB34),1)</f>
        <v>0</v>
      </c>
      <c r="AF34" s="265"/>
      <c r="AG34" s="256"/>
      <c r="AH34" s="265">
        <v>0</v>
      </c>
      <c r="AI34" s="520"/>
      <c r="AJ34" s="253"/>
      <c r="AK34" s="2176">
        <f t="shared" si="0"/>
        <v>0</v>
      </c>
      <c r="AL34" s="2176"/>
      <c r="AM34" s="3249">
        <f t="shared" ref="AM34:AM39" si="4">ROUND(IF(AH34=0,0,AK34/(AH34)),3)</f>
        <v>0</v>
      </c>
    </row>
    <row r="35" spans="1:39" ht="15" customHeight="1">
      <c r="A35" s="357"/>
      <c r="B35" s="1979" t="s">
        <v>1476</v>
      </c>
      <c r="C35" s="227"/>
      <c r="D35" s="278">
        <v>0</v>
      </c>
      <c r="E35" s="372"/>
      <c r="F35" s="377">
        <v>0</v>
      </c>
      <c r="G35" s="372"/>
      <c r="H35" s="323">
        <v>0</v>
      </c>
      <c r="I35" s="372"/>
      <c r="J35" s="323">
        <v>0</v>
      </c>
      <c r="K35" s="372"/>
      <c r="L35" s="323">
        <v>0</v>
      </c>
      <c r="M35" s="372"/>
      <c r="N35" s="1245">
        <v>0</v>
      </c>
      <c r="O35" s="372"/>
      <c r="P35" s="1245">
        <v>0</v>
      </c>
      <c r="Q35" s="372"/>
      <c r="R35" s="376"/>
      <c r="S35" s="372"/>
      <c r="T35" s="377"/>
      <c r="U35" s="372"/>
      <c r="V35" s="278"/>
      <c r="W35" s="265"/>
      <c r="X35" s="278"/>
      <c r="Y35" s="265"/>
      <c r="Z35" s="278"/>
      <c r="AA35" s="278"/>
      <c r="AB35" s="1245">
        <v>0</v>
      </c>
      <c r="AC35" s="372"/>
      <c r="AD35" s="478"/>
      <c r="AE35" s="265">
        <f t="shared" si="3"/>
        <v>0</v>
      </c>
      <c r="AF35" s="265"/>
      <c r="AG35" s="256"/>
      <c r="AH35" s="265">
        <v>0</v>
      </c>
      <c r="AI35" s="520"/>
      <c r="AJ35" s="253"/>
      <c r="AK35" s="2176">
        <f t="shared" si="0"/>
        <v>0</v>
      </c>
      <c r="AL35" s="2176"/>
      <c r="AM35" s="3249">
        <f t="shared" si="4"/>
        <v>0</v>
      </c>
    </row>
    <row r="36" spans="1:39" ht="15" customHeight="1">
      <c r="A36" s="357"/>
      <c r="B36" s="1979" t="s">
        <v>1477</v>
      </c>
      <c r="C36" s="227"/>
      <c r="D36" s="278">
        <v>0</v>
      </c>
      <c r="E36" s="372"/>
      <c r="F36" s="377">
        <v>0</v>
      </c>
      <c r="G36" s="372"/>
      <c r="H36" s="323">
        <v>0</v>
      </c>
      <c r="I36" s="372"/>
      <c r="J36" s="323">
        <v>0</v>
      </c>
      <c r="K36" s="372"/>
      <c r="L36" s="323">
        <v>0</v>
      </c>
      <c r="M36" s="372"/>
      <c r="N36" s="1245">
        <v>0</v>
      </c>
      <c r="O36" s="372"/>
      <c r="P36" s="1245">
        <v>0</v>
      </c>
      <c r="Q36" s="372"/>
      <c r="R36" s="376"/>
      <c r="S36" s="372"/>
      <c r="T36" s="377"/>
      <c r="U36" s="372"/>
      <c r="V36" s="278"/>
      <c r="W36" s="265"/>
      <c r="X36" s="278"/>
      <c r="Y36" s="265"/>
      <c r="Z36" s="278"/>
      <c r="AA36" s="278"/>
      <c r="AB36" s="1245">
        <v>0</v>
      </c>
      <c r="AC36" s="372"/>
      <c r="AD36" s="478"/>
      <c r="AE36" s="265">
        <f t="shared" si="3"/>
        <v>0</v>
      </c>
      <c r="AF36" s="265"/>
      <c r="AG36" s="256"/>
      <c r="AH36" s="265">
        <v>0</v>
      </c>
      <c r="AI36" s="520"/>
      <c r="AJ36" s="253"/>
      <c r="AK36" s="2176">
        <f t="shared" si="0"/>
        <v>0</v>
      </c>
      <c r="AL36" s="2176"/>
      <c r="AM36" s="3249">
        <f t="shared" si="4"/>
        <v>0</v>
      </c>
    </row>
    <row r="37" spans="1:39" ht="15" customHeight="1">
      <c r="A37" s="357"/>
      <c r="B37" s="1979" t="s">
        <v>1478</v>
      </c>
      <c r="C37" s="227"/>
      <c r="D37" s="278">
        <v>0</v>
      </c>
      <c r="E37" s="372"/>
      <c r="F37" s="377">
        <v>0</v>
      </c>
      <c r="G37" s="372"/>
      <c r="H37" s="323">
        <v>0</v>
      </c>
      <c r="I37" s="372"/>
      <c r="J37" s="323">
        <v>0</v>
      </c>
      <c r="K37" s="372"/>
      <c r="L37" s="323">
        <v>0</v>
      </c>
      <c r="M37" s="372"/>
      <c r="N37" s="1245">
        <v>0</v>
      </c>
      <c r="O37" s="372"/>
      <c r="P37" s="1245">
        <v>0</v>
      </c>
      <c r="Q37" s="372"/>
      <c r="R37" s="376"/>
      <c r="S37" s="372"/>
      <c r="T37" s="377"/>
      <c r="U37" s="372"/>
      <c r="V37" s="278"/>
      <c r="W37" s="265"/>
      <c r="X37" s="278"/>
      <c r="Y37" s="265"/>
      <c r="Z37" s="278"/>
      <c r="AA37" s="278"/>
      <c r="AB37" s="1245">
        <v>0</v>
      </c>
      <c r="AC37" s="372"/>
      <c r="AD37" s="478"/>
      <c r="AE37" s="265">
        <f t="shared" si="3"/>
        <v>0</v>
      </c>
      <c r="AF37" s="265"/>
      <c r="AG37" s="256"/>
      <c r="AH37" s="265">
        <v>0</v>
      </c>
      <c r="AI37" s="520"/>
      <c r="AJ37" s="253"/>
      <c r="AK37" s="2176">
        <f t="shared" si="0"/>
        <v>0</v>
      </c>
      <c r="AL37" s="2176"/>
      <c r="AM37" s="3249">
        <f t="shared" si="4"/>
        <v>0</v>
      </c>
    </row>
    <row r="38" spans="1:39" ht="15" customHeight="1">
      <c r="A38" s="357"/>
      <c r="B38" s="1979" t="s">
        <v>1448</v>
      </c>
      <c r="C38" s="227"/>
      <c r="D38" s="278">
        <v>0</v>
      </c>
      <c r="E38" s="372"/>
      <c r="F38" s="377">
        <v>0</v>
      </c>
      <c r="G38" s="372"/>
      <c r="H38" s="323">
        <v>0</v>
      </c>
      <c r="I38" s="372"/>
      <c r="J38" s="323">
        <v>0</v>
      </c>
      <c r="K38" s="372"/>
      <c r="L38" s="323">
        <v>0</v>
      </c>
      <c r="M38" s="372"/>
      <c r="N38" s="1245">
        <v>0</v>
      </c>
      <c r="O38" s="372"/>
      <c r="P38" s="1245">
        <v>0</v>
      </c>
      <c r="Q38" s="372"/>
      <c r="R38" s="376"/>
      <c r="S38" s="372"/>
      <c r="T38" s="377"/>
      <c r="U38" s="372"/>
      <c r="V38" s="278"/>
      <c r="W38" s="265"/>
      <c r="X38" s="278"/>
      <c r="Y38" s="265"/>
      <c r="Z38" s="278"/>
      <c r="AA38" s="278"/>
      <c r="AB38" s="1245">
        <v>0</v>
      </c>
      <c r="AC38" s="372"/>
      <c r="AD38" s="478"/>
      <c r="AE38" s="265">
        <f t="shared" si="3"/>
        <v>0</v>
      </c>
      <c r="AF38" s="265"/>
      <c r="AG38" s="256"/>
      <c r="AH38" s="265">
        <v>0</v>
      </c>
      <c r="AI38" s="520"/>
      <c r="AJ38" s="253"/>
      <c r="AK38" s="2176">
        <f t="shared" si="0"/>
        <v>0</v>
      </c>
      <c r="AL38" s="2176"/>
      <c r="AM38" s="3249">
        <f t="shared" si="4"/>
        <v>0</v>
      </c>
    </row>
    <row r="39" spans="1:39" ht="15" customHeight="1">
      <c r="A39" s="357"/>
      <c r="B39" s="1979" t="s">
        <v>1449</v>
      </c>
      <c r="C39" s="227"/>
      <c r="D39" s="278">
        <v>0</v>
      </c>
      <c r="E39" s="372"/>
      <c r="F39" s="377">
        <v>0</v>
      </c>
      <c r="G39" s="372"/>
      <c r="H39" s="323">
        <v>0</v>
      </c>
      <c r="I39" s="372"/>
      <c r="J39" s="323">
        <v>0</v>
      </c>
      <c r="K39" s="372"/>
      <c r="L39" s="323">
        <v>0</v>
      </c>
      <c r="M39" s="372"/>
      <c r="N39" s="1245">
        <v>0</v>
      </c>
      <c r="O39" s="372"/>
      <c r="P39" s="1245">
        <v>0</v>
      </c>
      <c r="Q39" s="372"/>
      <c r="R39" s="376"/>
      <c r="S39" s="372"/>
      <c r="T39" s="377"/>
      <c r="U39" s="372"/>
      <c r="V39" s="278"/>
      <c r="W39" s="265"/>
      <c r="X39" s="278"/>
      <c r="Y39" s="265"/>
      <c r="Z39" s="278"/>
      <c r="AA39" s="278"/>
      <c r="AB39" s="1245">
        <v>0</v>
      </c>
      <c r="AC39" s="372"/>
      <c r="AD39" s="478"/>
      <c r="AE39" s="265">
        <f t="shared" si="3"/>
        <v>0</v>
      </c>
      <c r="AF39" s="265"/>
      <c r="AG39" s="256"/>
      <c r="AH39" s="265">
        <v>0</v>
      </c>
      <c r="AI39" s="520"/>
      <c r="AJ39" s="253"/>
      <c r="AK39" s="2176">
        <f t="shared" si="0"/>
        <v>0</v>
      </c>
      <c r="AL39" s="2176"/>
      <c r="AM39" s="3249">
        <f t="shared" si="4"/>
        <v>0</v>
      </c>
    </row>
    <row r="40" spans="1:39" ht="15" customHeight="1">
      <c r="A40" s="357"/>
      <c r="B40" s="1979" t="s">
        <v>1566</v>
      </c>
      <c r="C40" s="227"/>
      <c r="D40" s="278"/>
      <c r="E40" s="372"/>
      <c r="F40" s="377"/>
      <c r="G40" s="372"/>
      <c r="H40" s="346"/>
      <c r="I40" s="372"/>
      <c r="J40" s="346"/>
      <c r="K40" s="372"/>
      <c r="L40" s="346"/>
      <c r="M40" s="372"/>
      <c r="N40" s="278"/>
      <c r="O40" s="372"/>
      <c r="P40" s="557"/>
      <c r="Q40" s="372"/>
      <c r="R40" s="376"/>
      <c r="S40" s="372"/>
      <c r="T40" s="377"/>
      <c r="U40" s="372"/>
      <c r="V40" s="278"/>
      <c r="W40" s="265"/>
      <c r="X40" s="278"/>
      <c r="Y40" s="265"/>
      <c r="Z40" s="278"/>
      <c r="AA40" s="278"/>
      <c r="AB40" s="278"/>
      <c r="AC40" s="372"/>
      <c r="AD40" s="478"/>
      <c r="AE40" s="265"/>
      <c r="AF40" s="265"/>
      <c r="AG40" s="256"/>
      <c r="AH40" s="265"/>
      <c r="AI40" s="520"/>
      <c r="AJ40" s="253"/>
      <c r="AK40" s="2176"/>
      <c r="AL40" s="2176"/>
      <c r="AM40" s="3260"/>
    </row>
    <row r="41" spans="1:39" ht="15" customHeight="1">
      <c r="A41" s="357"/>
      <c r="B41" s="1979" t="s">
        <v>1479</v>
      </c>
      <c r="C41" s="227"/>
      <c r="D41" s="278">
        <v>0</v>
      </c>
      <c r="E41" s="372"/>
      <c r="F41" s="377">
        <v>0</v>
      </c>
      <c r="G41" s="372"/>
      <c r="H41" s="323">
        <v>0.1</v>
      </c>
      <c r="I41" s="372"/>
      <c r="J41" s="323">
        <v>0</v>
      </c>
      <c r="K41" s="372"/>
      <c r="L41" s="323">
        <v>0</v>
      </c>
      <c r="M41" s="372"/>
      <c r="N41" s="1245">
        <v>0</v>
      </c>
      <c r="O41" s="372"/>
      <c r="P41" s="1245">
        <v>0.1</v>
      </c>
      <c r="Q41" s="372"/>
      <c r="R41" s="376"/>
      <c r="S41" s="372"/>
      <c r="T41" s="377"/>
      <c r="U41" s="372"/>
      <c r="V41" s="278"/>
      <c r="W41" s="265"/>
      <c r="X41" s="278"/>
      <c r="Y41" s="265"/>
      <c r="Z41" s="278"/>
      <c r="AA41" s="278"/>
      <c r="AB41" s="1245">
        <v>0</v>
      </c>
      <c r="AC41" s="372"/>
      <c r="AD41" s="478"/>
      <c r="AE41" s="265">
        <f t="shared" ref="AE41:AE51" si="5">ROUND(SUM(D41:AB41),1)</f>
        <v>0.2</v>
      </c>
      <c r="AF41" s="265"/>
      <c r="AG41" s="256"/>
      <c r="AH41" s="265">
        <v>0.2</v>
      </c>
      <c r="AI41" s="520"/>
      <c r="AJ41" s="253"/>
      <c r="AK41" s="2176">
        <f t="shared" si="0"/>
        <v>0</v>
      </c>
      <c r="AL41" s="2176"/>
      <c r="AM41" s="3249">
        <f t="shared" ref="AM41:AM51" si="6">ROUND(IF(AH41=0,0,AK41/(AH41)),3)</f>
        <v>0</v>
      </c>
    </row>
    <row r="42" spans="1:39" ht="15" customHeight="1">
      <c r="A42" s="357"/>
      <c r="B42" s="1979" t="s">
        <v>1480</v>
      </c>
      <c r="C42" s="227"/>
      <c r="D42" s="278">
        <v>0</v>
      </c>
      <c r="E42" s="372"/>
      <c r="F42" s="377">
        <v>0</v>
      </c>
      <c r="G42" s="372"/>
      <c r="H42" s="323">
        <v>0</v>
      </c>
      <c r="I42" s="372"/>
      <c r="J42" s="323">
        <v>0</v>
      </c>
      <c r="K42" s="372"/>
      <c r="L42" s="323">
        <v>0</v>
      </c>
      <c r="M42" s="372"/>
      <c r="N42" s="1245">
        <v>0</v>
      </c>
      <c r="O42" s="372"/>
      <c r="P42" s="1245">
        <v>0</v>
      </c>
      <c r="Q42" s="372"/>
      <c r="R42" s="376"/>
      <c r="S42" s="372"/>
      <c r="T42" s="377"/>
      <c r="U42" s="372"/>
      <c r="V42" s="278"/>
      <c r="W42" s="265"/>
      <c r="X42" s="278"/>
      <c r="Y42" s="265"/>
      <c r="Z42" s="278"/>
      <c r="AA42" s="278"/>
      <c r="AB42" s="1245">
        <v>0</v>
      </c>
      <c r="AC42" s="372"/>
      <c r="AD42" s="478"/>
      <c r="AE42" s="265">
        <f t="shared" si="5"/>
        <v>0</v>
      </c>
      <c r="AF42" s="265"/>
      <c r="AG42" s="256"/>
      <c r="AH42" s="265">
        <v>0</v>
      </c>
      <c r="AI42" s="520"/>
      <c r="AJ42" s="253"/>
      <c r="AK42" s="2176">
        <f t="shared" si="0"/>
        <v>0</v>
      </c>
      <c r="AL42" s="2176"/>
      <c r="AM42" s="3249">
        <f t="shared" si="6"/>
        <v>0</v>
      </c>
    </row>
    <row r="43" spans="1:39" ht="15" customHeight="1">
      <c r="A43" s="357"/>
      <c r="B43" s="1979" t="s">
        <v>1481</v>
      </c>
      <c r="C43" s="227"/>
      <c r="D43" s="278">
        <v>0.1</v>
      </c>
      <c r="E43" s="372"/>
      <c r="F43" s="377">
        <v>-0.1</v>
      </c>
      <c r="G43" s="372"/>
      <c r="H43" s="323">
        <v>0</v>
      </c>
      <c r="I43" s="372"/>
      <c r="J43" s="323">
        <v>0</v>
      </c>
      <c r="K43" s="372"/>
      <c r="L43" s="323">
        <v>0</v>
      </c>
      <c r="M43" s="372"/>
      <c r="N43" s="1245">
        <v>0</v>
      </c>
      <c r="O43" s="372"/>
      <c r="P43" s="1245">
        <v>0</v>
      </c>
      <c r="Q43" s="372"/>
      <c r="R43" s="376"/>
      <c r="S43" s="372"/>
      <c r="T43" s="377"/>
      <c r="U43" s="372"/>
      <c r="V43" s="278"/>
      <c r="W43" s="265"/>
      <c r="X43" s="278"/>
      <c r="Y43" s="265"/>
      <c r="Z43" s="278"/>
      <c r="AA43" s="278"/>
      <c r="AB43" s="1245">
        <v>0</v>
      </c>
      <c r="AC43" s="372"/>
      <c r="AD43" s="478"/>
      <c r="AE43" s="265">
        <f t="shared" si="5"/>
        <v>0</v>
      </c>
      <c r="AF43" s="265"/>
      <c r="AG43" s="256"/>
      <c r="AH43" s="265">
        <v>0</v>
      </c>
      <c r="AI43" s="520"/>
      <c r="AJ43" s="253"/>
      <c r="AK43" s="2176">
        <f t="shared" si="0"/>
        <v>0</v>
      </c>
      <c r="AL43" s="2176"/>
      <c r="AM43" s="3249">
        <f t="shared" si="6"/>
        <v>0</v>
      </c>
    </row>
    <row r="44" spans="1:39" ht="15" customHeight="1">
      <c r="A44" s="357"/>
      <c r="B44" s="1979" t="s">
        <v>1482</v>
      </c>
      <c r="C44" s="227"/>
      <c r="D44" s="278">
        <v>0</v>
      </c>
      <c r="E44" s="372"/>
      <c r="F44" s="377">
        <v>0</v>
      </c>
      <c r="G44" s="372"/>
      <c r="H44" s="323">
        <v>0</v>
      </c>
      <c r="I44" s="372"/>
      <c r="J44" s="323">
        <v>0</v>
      </c>
      <c r="K44" s="372"/>
      <c r="L44" s="323">
        <v>0</v>
      </c>
      <c r="M44" s="372"/>
      <c r="N44" s="1245">
        <v>0</v>
      </c>
      <c r="O44" s="372"/>
      <c r="P44" s="1245">
        <v>0</v>
      </c>
      <c r="Q44" s="372"/>
      <c r="R44" s="376"/>
      <c r="S44" s="372"/>
      <c r="T44" s="377"/>
      <c r="U44" s="372"/>
      <c r="V44" s="278"/>
      <c r="W44" s="265"/>
      <c r="X44" s="278"/>
      <c r="Y44" s="265"/>
      <c r="Z44" s="278"/>
      <c r="AA44" s="278"/>
      <c r="AB44" s="1245">
        <v>0</v>
      </c>
      <c r="AC44" s="372"/>
      <c r="AD44" s="478"/>
      <c r="AE44" s="265">
        <f t="shared" si="5"/>
        <v>0</v>
      </c>
      <c r="AF44" s="265"/>
      <c r="AG44" s="256"/>
      <c r="AH44" s="265">
        <v>0</v>
      </c>
      <c r="AI44" s="520"/>
      <c r="AJ44" s="253"/>
      <c r="AK44" s="2176">
        <f t="shared" si="0"/>
        <v>0</v>
      </c>
      <c r="AL44" s="2176"/>
      <c r="AM44" s="3249">
        <f t="shared" si="6"/>
        <v>0</v>
      </c>
    </row>
    <row r="45" spans="1:39" ht="15" customHeight="1">
      <c r="A45" s="357"/>
      <c r="B45" s="1979" t="s">
        <v>1483</v>
      </c>
      <c r="C45" s="227"/>
      <c r="D45" s="278">
        <v>0</v>
      </c>
      <c r="E45" s="372"/>
      <c r="F45" s="377">
        <v>0</v>
      </c>
      <c r="G45" s="372"/>
      <c r="H45" s="323">
        <v>0</v>
      </c>
      <c r="I45" s="372"/>
      <c r="J45" s="323">
        <v>0</v>
      </c>
      <c r="K45" s="372"/>
      <c r="L45" s="323">
        <v>0</v>
      </c>
      <c r="M45" s="372"/>
      <c r="N45" s="1245">
        <v>0</v>
      </c>
      <c r="O45" s="372"/>
      <c r="P45" s="1245">
        <v>0</v>
      </c>
      <c r="Q45" s="372"/>
      <c r="R45" s="376"/>
      <c r="S45" s="372"/>
      <c r="T45" s="377"/>
      <c r="U45" s="372"/>
      <c r="V45" s="278"/>
      <c r="W45" s="265"/>
      <c r="X45" s="278"/>
      <c r="Y45" s="265"/>
      <c r="Z45" s="278"/>
      <c r="AA45" s="278"/>
      <c r="AB45" s="1245">
        <v>0</v>
      </c>
      <c r="AC45" s="372"/>
      <c r="AD45" s="478"/>
      <c r="AE45" s="265">
        <f t="shared" si="5"/>
        <v>0</v>
      </c>
      <c r="AF45" s="265"/>
      <c r="AG45" s="256"/>
      <c r="AH45" s="265">
        <v>0</v>
      </c>
      <c r="AI45" s="520"/>
      <c r="AJ45" s="253"/>
      <c r="AK45" s="2176">
        <f t="shared" si="0"/>
        <v>0</v>
      </c>
      <c r="AL45" s="2176"/>
      <c r="AM45" s="3249">
        <f t="shared" si="6"/>
        <v>0</v>
      </c>
    </row>
    <row r="46" spans="1:39" ht="15" customHeight="1">
      <c r="A46" s="357"/>
      <c r="B46" s="1979" t="s">
        <v>1484</v>
      </c>
      <c r="C46" s="227"/>
      <c r="D46" s="278">
        <v>8.1999999999999993</v>
      </c>
      <c r="E46" s="372"/>
      <c r="F46" s="377">
        <v>9.1</v>
      </c>
      <c r="G46" s="372"/>
      <c r="H46" s="323">
        <v>9.1999999999999993</v>
      </c>
      <c r="I46" s="372"/>
      <c r="J46" s="323">
        <v>9.1</v>
      </c>
      <c r="K46" s="372"/>
      <c r="L46" s="323">
        <v>8.6</v>
      </c>
      <c r="M46" s="372"/>
      <c r="N46" s="1245">
        <v>9.8000000000000007</v>
      </c>
      <c r="O46" s="372"/>
      <c r="P46" s="1245">
        <v>8.1999999999999993</v>
      </c>
      <c r="Q46" s="372"/>
      <c r="R46" s="376"/>
      <c r="S46" s="372"/>
      <c r="T46" s="377"/>
      <c r="U46" s="372"/>
      <c r="V46" s="278"/>
      <c r="W46" s="265"/>
      <c r="X46" s="278"/>
      <c r="Y46" s="265"/>
      <c r="Z46" s="278"/>
      <c r="AA46" s="278"/>
      <c r="AB46" s="1245">
        <v>0</v>
      </c>
      <c r="AC46" s="372"/>
      <c r="AD46" s="478"/>
      <c r="AE46" s="265">
        <f t="shared" si="5"/>
        <v>62.2</v>
      </c>
      <c r="AF46" s="265"/>
      <c r="AG46" s="256"/>
      <c r="AH46" s="265">
        <v>66</v>
      </c>
      <c r="AI46" s="520"/>
      <c r="AJ46" s="253"/>
      <c r="AK46" s="2176">
        <f t="shared" si="0"/>
        <v>-3.8</v>
      </c>
      <c r="AL46" s="2176"/>
      <c r="AM46" s="3249">
        <f t="shared" si="6"/>
        <v>-5.8000000000000003E-2</v>
      </c>
    </row>
    <row r="47" spans="1:39" ht="15" customHeight="1">
      <c r="A47" s="357"/>
      <c r="B47" s="1979" t="s">
        <v>1485</v>
      </c>
      <c r="C47" s="227"/>
      <c r="D47" s="278">
        <v>0</v>
      </c>
      <c r="E47" s="372"/>
      <c r="F47" s="377">
        <v>0</v>
      </c>
      <c r="G47" s="372"/>
      <c r="H47" s="1982">
        <v>0</v>
      </c>
      <c r="I47" s="372"/>
      <c r="J47" s="323">
        <v>0</v>
      </c>
      <c r="K47" s="372"/>
      <c r="L47" s="323">
        <v>0</v>
      </c>
      <c r="M47" s="372"/>
      <c r="N47" s="1245">
        <v>0</v>
      </c>
      <c r="O47" s="372"/>
      <c r="P47" s="1245">
        <v>0</v>
      </c>
      <c r="Q47" s="372"/>
      <c r="R47" s="376"/>
      <c r="S47" s="372"/>
      <c r="T47" s="377"/>
      <c r="U47" s="372"/>
      <c r="V47" s="278"/>
      <c r="W47" s="265"/>
      <c r="X47" s="278"/>
      <c r="Y47" s="265"/>
      <c r="Z47" s="278"/>
      <c r="AA47" s="278"/>
      <c r="AB47" s="1245">
        <v>0</v>
      </c>
      <c r="AC47" s="372"/>
      <c r="AD47" s="478"/>
      <c r="AE47" s="265">
        <f t="shared" si="5"/>
        <v>0</v>
      </c>
      <c r="AF47" s="265"/>
      <c r="AG47" s="256"/>
      <c r="AH47" s="265">
        <v>0</v>
      </c>
      <c r="AI47" s="520"/>
      <c r="AJ47" s="253"/>
      <c r="AK47" s="2176">
        <f t="shared" si="0"/>
        <v>0</v>
      </c>
      <c r="AL47" s="2176"/>
      <c r="AM47" s="3249">
        <f t="shared" si="6"/>
        <v>0</v>
      </c>
    </row>
    <row r="48" spans="1:39" ht="15" customHeight="1">
      <c r="A48" s="357"/>
      <c r="B48" s="1979" t="s">
        <v>1486</v>
      </c>
      <c r="C48" s="227"/>
      <c r="D48" s="278">
        <v>0</v>
      </c>
      <c r="E48" s="372"/>
      <c r="F48" s="377">
        <v>0</v>
      </c>
      <c r="G48" s="372"/>
      <c r="H48" s="323">
        <v>0</v>
      </c>
      <c r="I48" s="372"/>
      <c r="J48" s="323">
        <v>0</v>
      </c>
      <c r="K48" s="372"/>
      <c r="L48" s="323">
        <v>0</v>
      </c>
      <c r="M48" s="372"/>
      <c r="N48" s="1245">
        <v>0</v>
      </c>
      <c r="O48" s="372"/>
      <c r="P48" s="1245">
        <v>0</v>
      </c>
      <c r="Q48" s="372"/>
      <c r="R48" s="376"/>
      <c r="S48" s="372"/>
      <c r="T48" s="377"/>
      <c r="U48" s="372"/>
      <c r="V48" s="278"/>
      <c r="W48" s="265"/>
      <c r="X48" s="278"/>
      <c r="Y48" s="265"/>
      <c r="Z48" s="278"/>
      <c r="AA48" s="278"/>
      <c r="AB48" s="1245">
        <v>0</v>
      </c>
      <c r="AC48" s="372"/>
      <c r="AD48" s="478"/>
      <c r="AE48" s="265">
        <f t="shared" si="5"/>
        <v>0</v>
      </c>
      <c r="AF48" s="265"/>
      <c r="AG48" s="256"/>
      <c r="AH48" s="265">
        <v>0</v>
      </c>
      <c r="AI48" s="520"/>
      <c r="AJ48" s="253"/>
      <c r="AK48" s="2176">
        <f t="shared" si="0"/>
        <v>0</v>
      </c>
      <c r="AL48" s="2176"/>
      <c r="AM48" s="3249">
        <f t="shared" si="6"/>
        <v>0</v>
      </c>
    </row>
    <row r="49" spans="1:39" ht="15" customHeight="1">
      <c r="A49" s="357"/>
      <c r="B49" s="1979" t="s">
        <v>1487</v>
      </c>
      <c r="C49" s="227"/>
      <c r="D49" s="278">
        <v>0</v>
      </c>
      <c r="E49" s="372"/>
      <c r="F49" s="377">
        <v>0</v>
      </c>
      <c r="G49" s="372"/>
      <c r="H49" s="323">
        <v>0</v>
      </c>
      <c r="I49" s="372"/>
      <c r="J49" s="323">
        <v>1.6</v>
      </c>
      <c r="K49" s="372"/>
      <c r="L49" s="323">
        <v>0</v>
      </c>
      <c r="M49" s="372"/>
      <c r="N49" s="1245">
        <v>2.7</v>
      </c>
      <c r="O49" s="372"/>
      <c r="P49" s="1245">
        <v>0.3</v>
      </c>
      <c r="Q49" s="372"/>
      <c r="R49" s="376"/>
      <c r="S49" s="372"/>
      <c r="T49" s="377"/>
      <c r="U49" s="372"/>
      <c r="V49" s="278"/>
      <c r="W49" s="265"/>
      <c r="X49" s="278"/>
      <c r="Y49" s="265"/>
      <c r="Z49" s="278"/>
      <c r="AA49" s="278"/>
      <c r="AB49" s="1245">
        <v>0</v>
      </c>
      <c r="AC49" s="372"/>
      <c r="AD49" s="478"/>
      <c r="AE49" s="265">
        <f t="shared" si="5"/>
        <v>4.5999999999999996</v>
      </c>
      <c r="AF49" s="265"/>
      <c r="AG49" s="256"/>
      <c r="AH49" s="265">
        <v>3.9</v>
      </c>
      <c r="AI49" s="520"/>
      <c r="AJ49" s="253"/>
      <c r="AK49" s="2176">
        <f t="shared" si="0"/>
        <v>0.7</v>
      </c>
      <c r="AL49" s="2176"/>
      <c r="AM49" s="3249">
        <f t="shared" si="6"/>
        <v>0.17899999999999999</v>
      </c>
    </row>
    <row r="50" spans="1:39" ht="15" customHeight="1">
      <c r="A50" s="357"/>
      <c r="B50" s="1979" t="s">
        <v>1459</v>
      </c>
      <c r="C50" s="227"/>
      <c r="D50" s="278">
        <v>0</v>
      </c>
      <c r="E50" s="372"/>
      <c r="F50" s="377">
        <v>0</v>
      </c>
      <c r="G50" s="372"/>
      <c r="H50" s="323">
        <v>0</v>
      </c>
      <c r="I50" s="372"/>
      <c r="J50" s="323">
        <v>0</v>
      </c>
      <c r="K50" s="372"/>
      <c r="L50" s="323">
        <v>0</v>
      </c>
      <c r="M50" s="372"/>
      <c r="N50" s="1245">
        <v>0</v>
      </c>
      <c r="O50" s="372"/>
      <c r="P50" s="1245">
        <v>0</v>
      </c>
      <c r="Q50" s="372"/>
      <c r="R50" s="376"/>
      <c r="S50" s="372"/>
      <c r="T50" s="377"/>
      <c r="U50" s="372"/>
      <c r="V50" s="278"/>
      <c r="W50" s="265"/>
      <c r="X50" s="278"/>
      <c r="Y50" s="265"/>
      <c r="Z50" s="278"/>
      <c r="AA50" s="278"/>
      <c r="AB50" s="1245">
        <v>0</v>
      </c>
      <c r="AC50" s="372"/>
      <c r="AD50" s="478"/>
      <c r="AE50" s="265">
        <f t="shared" si="5"/>
        <v>0</v>
      </c>
      <c r="AF50" s="265"/>
      <c r="AG50" s="256"/>
      <c r="AH50" s="265">
        <v>0</v>
      </c>
      <c r="AI50" s="520"/>
      <c r="AJ50" s="253"/>
      <c r="AK50" s="2176">
        <f t="shared" si="0"/>
        <v>0</v>
      </c>
      <c r="AL50" s="2176"/>
      <c r="AM50" s="3249">
        <f t="shared" si="6"/>
        <v>0</v>
      </c>
    </row>
    <row r="51" spans="1:39" ht="15" customHeight="1">
      <c r="A51" s="357"/>
      <c r="B51" s="1979" t="s">
        <v>1460</v>
      </c>
      <c r="C51" s="227"/>
      <c r="D51" s="278">
        <v>0</v>
      </c>
      <c r="E51" s="372"/>
      <c r="F51" s="377">
        <v>0</v>
      </c>
      <c r="G51" s="372"/>
      <c r="H51" s="323">
        <v>0</v>
      </c>
      <c r="I51" s="372"/>
      <c r="J51" s="323">
        <v>0</v>
      </c>
      <c r="K51" s="372"/>
      <c r="L51" s="323">
        <v>0</v>
      </c>
      <c r="M51" s="372"/>
      <c r="N51" s="1245">
        <v>0</v>
      </c>
      <c r="O51" s="372"/>
      <c r="P51" s="1245">
        <v>0</v>
      </c>
      <c r="Q51" s="372"/>
      <c r="R51" s="376"/>
      <c r="S51" s="372"/>
      <c r="T51" s="377"/>
      <c r="U51" s="372"/>
      <c r="V51" s="278"/>
      <c r="W51" s="265"/>
      <c r="X51" s="278"/>
      <c r="Y51" s="265"/>
      <c r="Z51" s="278"/>
      <c r="AA51" s="278"/>
      <c r="AB51" s="1245">
        <v>0</v>
      </c>
      <c r="AC51" s="372"/>
      <c r="AD51" s="478"/>
      <c r="AE51" s="265">
        <f t="shared" si="5"/>
        <v>0</v>
      </c>
      <c r="AF51" s="265"/>
      <c r="AG51" s="256"/>
      <c r="AH51" s="265">
        <v>0</v>
      </c>
      <c r="AI51" s="520"/>
      <c r="AJ51" s="253"/>
      <c r="AK51" s="2176">
        <f t="shared" si="0"/>
        <v>0</v>
      </c>
      <c r="AL51" s="2176"/>
      <c r="AM51" s="3249">
        <f t="shared" si="6"/>
        <v>0</v>
      </c>
    </row>
    <row r="52" spans="1:39" s="1974" customFormat="1" ht="15" customHeight="1">
      <c r="A52" s="2374"/>
      <c r="B52" s="594" t="s">
        <v>1497</v>
      </c>
      <c r="C52" s="312"/>
      <c r="D52" s="2379">
        <f>ROUND(SUM(D19:D51),1)</f>
        <v>12.4</v>
      </c>
      <c r="E52" s="346"/>
      <c r="F52" s="2379">
        <f>ROUND(SUM(F19:F51),1)</f>
        <v>40.1</v>
      </c>
      <c r="G52" s="346"/>
      <c r="H52" s="2379">
        <f>ROUND(SUM(H19:H51),1)</f>
        <v>9.9</v>
      </c>
      <c r="I52" s="346"/>
      <c r="J52" s="2379">
        <f>ROUND(SUM(J19:J51),1)</f>
        <v>14.6</v>
      </c>
      <c r="K52" s="346"/>
      <c r="L52" s="2379">
        <f>ROUND(SUM(L19:L51),1)</f>
        <v>18.2</v>
      </c>
      <c r="M52" s="346"/>
      <c r="N52" s="2379">
        <f>ROUND(SUM(N19:N51),1)</f>
        <v>13.1</v>
      </c>
      <c r="O52" s="346"/>
      <c r="P52" s="2379">
        <f>ROUND(SUM(P19:P51),1)</f>
        <v>10.7</v>
      </c>
      <c r="Q52" s="346"/>
      <c r="R52" s="2379">
        <f>ROUND(SUM(R19:R51),1)</f>
        <v>0</v>
      </c>
      <c r="S52" s="346"/>
      <c r="T52" s="2379">
        <f>ROUND(SUM(T19:T51),1)</f>
        <v>0</v>
      </c>
      <c r="U52" s="346"/>
      <c r="V52" s="2379">
        <f>ROUND(SUM(V19:V51),1)</f>
        <v>0</v>
      </c>
      <c r="W52" s="323"/>
      <c r="X52" s="2379">
        <f>ROUND(SUM(X19:X51),1)</f>
        <v>0</v>
      </c>
      <c r="Y52" s="323"/>
      <c r="Z52" s="2379">
        <f>ROUND(SUM(Z19:Z51),1)</f>
        <v>0</v>
      </c>
      <c r="AA52" s="3077"/>
      <c r="AB52" s="2379">
        <f>ROUND(SUM(AB19:AB51),1)</f>
        <v>0</v>
      </c>
      <c r="AC52" s="346"/>
      <c r="AD52" s="2376"/>
      <c r="AE52" s="2379">
        <f>ROUND(SUM(AE19:AE51),1)</f>
        <v>119</v>
      </c>
      <c r="AF52" s="323"/>
      <c r="AG52" s="2377"/>
      <c r="AH52" s="2379">
        <f>ROUND(SUM(AH19:AH51),1)</f>
        <v>114.1</v>
      </c>
      <c r="AI52" s="2378"/>
      <c r="AJ52" s="266"/>
      <c r="AK52" s="2379">
        <f>ROUND(SUM(AK19:AK51),1)</f>
        <v>4.9000000000000004</v>
      </c>
      <c r="AL52" s="2314"/>
      <c r="AM52" s="3265">
        <f>ROUND(SUM((AE52-AH52)/AH52),3)</f>
        <v>4.2999999999999997E-2</v>
      </c>
    </row>
    <row r="53" spans="1:39" s="1974" customFormat="1" ht="15" customHeight="1">
      <c r="A53" s="2374"/>
      <c r="B53" s="1979"/>
      <c r="C53" s="312"/>
      <c r="D53" s="324"/>
      <c r="E53" s="346"/>
      <c r="F53" s="703"/>
      <c r="G53" s="346"/>
      <c r="H53" s="323"/>
      <c r="I53" s="346"/>
      <c r="J53" s="323"/>
      <c r="K53" s="346"/>
      <c r="L53" s="323"/>
      <c r="M53" s="346"/>
      <c r="N53" s="346"/>
      <c r="O53" s="346"/>
      <c r="P53" s="557"/>
      <c r="Q53" s="346"/>
      <c r="R53" s="2375"/>
      <c r="S53" s="346"/>
      <c r="T53" s="703"/>
      <c r="U53" s="346"/>
      <c r="V53" s="324"/>
      <c r="W53" s="323"/>
      <c r="X53" s="324"/>
      <c r="Y53" s="323"/>
      <c r="Z53" s="324"/>
      <c r="AA53" s="324"/>
      <c r="AB53" s="324"/>
      <c r="AC53" s="346"/>
      <c r="AD53" s="2376"/>
      <c r="AE53" s="323"/>
      <c r="AF53" s="323"/>
      <c r="AG53" s="2377"/>
      <c r="AH53" s="323"/>
      <c r="AI53" s="2378"/>
      <c r="AJ53" s="266"/>
      <c r="AK53" s="2314"/>
      <c r="AL53" s="2314"/>
      <c r="AM53" s="3263"/>
    </row>
    <row r="54" spans="1:39" ht="15" customHeight="1">
      <c r="A54" s="357"/>
      <c r="B54" s="525" t="s">
        <v>157</v>
      </c>
      <c r="C54" s="227"/>
      <c r="D54" s="278">
        <v>2865.9</v>
      </c>
      <c r="E54" s="372"/>
      <c r="F54" s="377">
        <v>3840</v>
      </c>
      <c r="G54" s="372"/>
      <c r="H54" s="346">
        <v>3921.2</v>
      </c>
      <c r="I54" s="372"/>
      <c r="J54" s="346">
        <v>3224.5</v>
      </c>
      <c r="K54" s="372"/>
      <c r="L54" s="346">
        <v>4035</v>
      </c>
      <c r="M54" s="372"/>
      <c r="N54" s="323">
        <v>3880.4</v>
      </c>
      <c r="O54" s="372"/>
      <c r="P54" s="557">
        <v>3611.9</v>
      </c>
      <c r="Q54" s="372"/>
      <c r="R54" s="376"/>
      <c r="S54" s="372"/>
      <c r="T54" s="377"/>
      <c r="U54" s="372"/>
      <c r="V54" s="278"/>
      <c r="W54" s="265"/>
      <c r="X54" s="278"/>
      <c r="Y54" s="265"/>
      <c r="Z54" s="278"/>
      <c r="AA54" s="278"/>
      <c r="AB54" s="278">
        <v>0</v>
      </c>
      <c r="AC54" s="372"/>
      <c r="AD54" s="478"/>
      <c r="AE54" s="265">
        <f>ROUND(SUM(D54:AB54),1)</f>
        <v>25378.9</v>
      </c>
      <c r="AF54" s="253"/>
      <c r="AG54" s="256"/>
      <c r="AH54" s="265">
        <v>24056.400000000001</v>
      </c>
      <c r="AI54" s="520"/>
      <c r="AJ54" s="253"/>
      <c r="AK54" s="2176">
        <f>ROUND(SUM(+AE54-AH54),1)</f>
        <v>1322.5</v>
      </c>
      <c r="AL54" s="2176"/>
      <c r="AM54" s="3266">
        <f>ROUND(SUM((AE54-AH54)/AH54),3)</f>
        <v>5.5E-2</v>
      </c>
    </row>
    <row r="55" spans="1:39" ht="15" customHeight="1">
      <c r="A55" s="357"/>
      <c r="B55" s="227"/>
      <c r="C55" s="227"/>
      <c r="D55" s="375"/>
      <c r="E55" s="372"/>
      <c r="F55" s="375"/>
      <c r="G55" s="372"/>
      <c r="H55" s="375"/>
      <c r="I55" s="372"/>
      <c r="J55" s="375"/>
      <c r="K55" s="372"/>
      <c r="L55" s="375"/>
      <c r="M55" s="372"/>
      <c r="N55" s="375"/>
      <c r="O55" s="372"/>
      <c r="P55" s="375"/>
      <c r="Q55" s="372"/>
      <c r="R55" s="375"/>
      <c r="S55" s="372"/>
      <c r="T55" s="293"/>
      <c r="U55" s="372"/>
      <c r="V55" s="293"/>
      <c r="W55" s="265"/>
      <c r="X55" s="293"/>
      <c r="Y55" s="265"/>
      <c r="Z55" s="293"/>
      <c r="AA55" s="253"/>
      <c r="AB55" s="293"/>
      <c r="AC55" s="372"/>
      <c r="AD55" s="478"/>
      <c r="AE55" s="293"/>
      <c r="AF55" s="253"/>
      <c r="AG55" s="256"/>
      <c r="AH55" s="293"/>
      <c r="AI55" s="520"/>
      <c r="AJ55" s="253"/>
      <c r="AK55" s="3158"/>
      <c r="AL55" s="3159"/>
      <c r="AM55" s="3267"/>
    </row>
    <row r="56" spans="1:39" ht="15" customHeight="1">
      <c r="A56" s="357"/>
      <c r="B56" s="225" t="s">
        <v>158</v>
      </c>
      <c r="C56" s="227"/>
      <c r="D56" s="261">
        <f>ROUND(SUM(+D52+D54),2)</f>
        <v>2878.3</v>
      </c>
      <c r="E56" s="414"/>
      <c r="F56" s="2154">
        <f>ROUND(SUM(+F52+F54),2)</f>
        <v>3880.1</v>
      </c>
      <c r="G56" s="414"/>
      <c r="H56" s="2154">
        <f>ROUND(SUM(+H52+H54),2)</f>
        <v>3931.1</v>
      </c>
      <c r="I56" s="414"/>
      <c r="J56" s="2154">
        <f>ROUND(SUM(+J52+J54),2)</f>
        <v>3239.1</v>
      </c>
      <c r="K56" s="414"/>
      <c r="L56" s="2154">
        <f>ROUND(SUM(+L52+L54),2)</f>
        <v>4053.2</v>
      </c>
      <c r="M56" s="414"/>
      <c r="N56" s="2154">
        <f>ROUND(SUM(+N52+N54),2)</f>
        <v>3893.5</v>
      </c>
      <c r="O56" s="414"/>
      <c r="P56" s="2154">
        <f>ROUND(SUM(+P52+P54),2)</f>
        <v>3622.6</v>
      </c>
      <c r="Q56" s="414"/>
      <c r="R56" s="2154">
        <f>ROUND(SUM(+R52+R54),2)</f>
        <v>0</v>
      </c>
      <c r="S56" s="414"/>
      <c r="T56" s="2154">
        <f>ROUND(SUM(+T52+T54),2)</f>
        <v>0</v>
      </c>
      <c r="U56" s="414"/>
      <c r="V56" s="2154">
        <f>ROUND(SUM(+V52+V54),2)</f>
        <v>0</v>
      </c>
      <c r="W56" s="261"/>
      <c r="X56" s="2154">
        <f>ROUND(SUM(+X52+X54),2)</f>
        <v>0</v>
      </c>
      <c r="Y56" s="261"/>
      <c r="Z56" s="2154">
        <f>ROUND(SUM(+Z52+Z54),2)</f>
        <v>0</v>
      </c>
      <c r="AA56" s="2154"/>
      <c r="AB56" s="2154">
        <f>ROUND(SUM(+AB52+AB54),2)</f>
        <v>0</v>
      </c>
      <c r="AC56" s="414"/>
      <c r="AD56" s="485"/>
      <c r="AE56" s="2154">
        <f>ROUND(SUM(+AE52+AE54),1)</f>
        <v>25497.9</v>
      </c>
      <c r="AF56" s="277"/>
      <c r="AG56" s="760"/>
      <c r="AH56" s="2154">
        <f>ROUND(SUM(+AH52+AH54),1)</f>
        <v>24170.5</v>
      </c>
      <c r="AI56" s="527"/>
      <c r="AJ56" s="277"/>
      <c r="AK56" s="1883">
        <f>ROUND(SUM(+AK52+AK54),1)</f>
        <v>1327.4</v>
      </c>
      <c r="AL56" s="529"/>
      <c r="AM56" s="3268">
        <f>ROUND(SUM((AE56-AH56)/AH56),3)</f>
        <v>5.5E-2</v>
      </c>
    </row>
    <row r="57" spans="1:39" ht="15" customHeight="1">
      <c r="A57" s="357"/>
      <c r="B57" s="227"/>
      <c r="C57" s="227"/>
      <c r="D57" s="375"/>
      <c r="E57" s="372"/>
      <c r="F57" s="293"/>
      <c r="G57" s="372"/>
      <c r="H57" s="293"/>
      <c r="I57" s="372"/>
      <c r="J57" s="293"/>
      <c r="K57" s="372"/>
      <c r="L57" s="293"/>
      <c r="M57" s="372"/>
      <c r="N57" s="293"/>
      <c r="O57" s="372"/>
      <c r="P57" s="293"/>
      <c r="Q57" s="372"/>
      <c r="R57" s="293"/>
      <c r="S57" s="372"/>
      <c r="T57" s="293"/>
      <c r="U57" s="372"/>
      <c r="V57" s="293"/>
      <c r="W57" s="265"/>
      <c r="X57" s="293"/>
      <c r="Y57" s="265"/>
      <c r="Z57" s="293"/>
      <c r="AA57" s="253"/>
      <c r="AB57" s="293"/>
      <c r="AC57" s="372"/>
      <c r="AD57" s="478"/>
      <c r="AE57" s="375"/>
      <c r="AF57" s="257"/>
      <c r="AG57" s="546"/>
      <c r="AH57" s="375"/>
      <c r="AI57" s="547"/>
      <c r="AJ57" s="233"/>
      <c r="AK57" s="3159"/>
      <c r="AL57" s="3159"/>
      <c r="AM57" s="3269"/>
    </row>
    <row r="58" spans="1:39" ht="15" customHeight="1">
      <c r="A58" s="357"/>
      <c r="B58" s="380" t="s">
        <v>24</v>
      </c>
      <c r="C58" s="227"/>
      <c r="D58" s="372"/>
      <c r="E58" s="372"/>
      <c r="F58" s="265"/>
      <c r="G58" s="372"/>
      <c r="H58" s="265"/>
      <c r="I58" s="372"/>
      <c r="J58" s="265"/>
      <c r="K58" s="372"/>
      <c r="L58" s="265"/>
      <c r="M58" s="372"/>
      <c r="N58" s="265"/>
      <c r="O58" s="372"/>
      <c r="P58" s="265"/>
      <c r="Q58" s="372"/>
      <c r="R58" s="265"/>
      <c r="S58" s="372"/>
      <c r="T58" s="265"/>
      <c r="U58" s="372"/>
      <c r="V58" s="265"/>
      <c r="W58" s="265"/>
      <c r="X58" s="265"/>
      <c r="Y58" s="265"/>
      <c r="Z58" s="265"/>
      <c r="AA58" s="265"/>
      <c r="AB58" s="265"/>
      <c r="AC58" s="372"/>
      <c r="AD58" s="478"/>
      <c r="AE58" s="372"/>
      <c r="AF58" s="257"/>
      <c r="AG58" s="546"/>
      <c r="AH58" s="372"/>
      <c r="AI58" s="547"/>
      <c r="AJ58" s="233"/>
      <c r="AK58" s="3159"/>
      <c r="AL58" s="3159"/>
      <c r="AM58" s="3269"/>
    </row>
    <row r="59" spans="1:39" ht="15" customHeight="1">
      <c r="A59" s="357"/>
      <c r="B59" s="1407" t="s">
        <v>159</v>
      </c>
      <c r="C59" s="227"/>
      <c r="D59" s="278"/>
      <c r="E59" s="372"/>
      <c r="F59" s="278"/>
      <c r="G59" s="372"/>
      <c r="H59" s="324"/>
      <c r="I59" s="372"/>
      <c r="J59" s="324"/>
      <c r="K59" s="372"/>
      <c r="L59" s="324"/>
      <c r="M59" s="372"/>
      <c r="N59" s="324"/>
      <c r="O59" s="372"/>
      <c r="P59" s="325"/>
      <c r="Q59" s="372"/>
      <c r="R59" s="278"/>
      <c r="S59" s="372"/>
      <c r="T59" s="278"/>
      <c r="U59" s="372"/>
      <c r="V59" s="265"/>
      <c r="W59" s="265"/>
      <c r="X59" s="265"/>
      <c r="Y59" s="265"/>
      <c r="Z59" s="265"/>
      <c r="AA59" s="265"/>
      <c r="AB59" s="265"/>
      <c r="AC59" s="372"/>
      <c r="AD59" s="478"/>
      <c r="AE59" s="372"/>
      <c r="AF59" s="257"/>
      <c r="AG59" s="546"/>
      <c r="AH59" s="372"/>
      <c r="AI59" s="547"/>
      <c r="AJ59" s="233"/>
      <c r="AK59" s="2931"/>
      <c r="AL59" s="3159"/>
      <c r="AM59" s="3267"/>
    </row>
    <row r="60" spans="1:39" ht="15" customHeight="1">
      <c r="A60" s="357"/>
      <c r="B60" s="386" t="s">
        <v>26</v>
      </c>
      <c r="C60" s="227"/>
      <c r="D60" s="278">
        <v>446.3</v>
      </c>
      <c r="E60" s="372"/>
      <c r="F60" s="377">
        <v>452</v>
      </c>
      <c r="G60" s="372"/>
      <c r="H60" s="333">
        <v>345</v>
      </c>
      <c r="I60" s="372"/>
      <c r="J60" s="333">
        <v>225.7</v>
      </c>
      <c r="K60" s="372"/>
      <c r="L60" s="333">
        <v>164.5</v>
      </c>
      <c r="M60" s="372"/>
      <c r="N60" s="333">
        <v>108.4</v>
      </c>
      <c r="O60" s="372"/>
      <c r="P60" s="1245">
        <v>188.3</v>
      </c>
      <c r="Q60" s="372"/>
      <c r="R60" s="270"/>
      <c r="S60" s="372"/>
      <c r="T60" s="377"/>
      <c r="U60" s="372"/>
      <c r="V60" s="278"/>
      <c r="W60" s="265"/>
      <c r="X60" s="278"/>
      <c r="Y60" s="265"/>
      <c r="Z60" s="265"/>
      <c r="AA60" s="265"/>
      <c r="AB60" s="265">
        <v>0</v>
      </c>
      <c r="AC60" s="372"/>
      <c r="AD60" s="478"/>
      <c r="AE60" s="265">
        <f>ROUND(SUM(D60:AB60),1)</f>
        <v>1930.2</v>
      </c>
      <c r="AF60" s="253"/>
      <c r="AG60" s="256"/>
      <c r="AH60" s="323">
        <v>2274.5</v>
      </c>
      <c r="AI60" s="520"/>
      <c r="AJ60" s="253"/>
      <c r="AK60" s="1214">
        <f>ROUND(SUM(+AE60-AH60),1)</f>
        <v>-344.3</v>
      </c>
      <c r="AL60" s="1214"/>
      <c r="AM60" s="3249">
        <f>ROUND(IF(AH60=0,0,AK60/(AH60)),3)</f>
        <v>-0.151</v>
      </c>
    </row>
    <row r="61" spans="1:39" ht="15" customHeight="1">
      <c r="A61" s="357"/>
      <c r="B61" s="386" t="s">
        <v>27</v>
      </c>
      <c r="C61" s="227"/>
      <c r="D61" s="521">
        <v>0</v>
      </c>
      <c r="E61" s="372"/>
      <c r="F61" s="377">
        <v>0.1</v>
      </c>
      <c r="G61" s="372"/>
      <c r="H61" s="333">
        <v>0</v>
      </c>
      <c r="I61" s="372"/>
      <c r="J61" s="333">
        <v>0</v>
      </c>
      <c r="K61" s="372"/>
      <c r="L61" s="333">
        <v>0.2</v>
      </c>
      <c r="M61" s="372"/>
      <c r="N61" s="377">
        <v>0</v>
      </c>
      <c r="O61" s="372"/>
      <c r="P61" s="1245">
        <v>0</v>
      </c>
      <c r="Q61" s="372"/>
      <c r="R61" s="270"/>
      <c r="S61" s="372"/>
      <c r="T61" s="377"/>
      <c r="U61" s="372"/>
      <c r="V61" s="377"/>
      <c r="W61" s="265"/>
      <c r="X61" s="278"/>
      <c r="Y61" s="265"/>
      <c r="Z61" s="265"/>
      <c r="AA61" s="265"/>
      <c r="AB61" s="265">
        <v>0</v>
      </c>
      <c r="AC61" s="372"/>
      <c r="AD61" s="478"/>
      <c r="AE61" s="265">
        <f>ROUND(SUM(D61:AB61),1)</f>
        <v>0.3</v>
      </c>
      <c r="AF61" s="253"/>
      <c r="AG61" s="256"/>
      <c r="AH61" s="1321">
        <v>0.8</v>
      </c>
      <c r="AI61" s="520"/>
      <c r="AJ61" s="253"/>
      <c r="AK61" s="1214">
        <f>ROUND(SUM(+AE61-AH61),1)</f>
        <v>-0.5</v>
      </c>
      <c r="AL61" s="1214"/>
      <c r="AM61" s="3249">
        <f>ROUND(IF(AH61=0,0,AK61/(AH61)),3)</f>
        <v>-0.625</v>
      </c>
    </row>
    <row r="62" spans="1:39" ht="15" customHeight="1">
      <c r="A62" s="357"/>
      <c r="B62" s="386" t="s">
        <v>28</v>
      </c>
      <c r="C62" s="227"/>
      <c r="D62" s="521">
        <v>2.2000000000000002</v>
      </c>
      <c r="E62" s="372"/>
      <c r="F62" s="377">
        <v>2.9</v>
      </c>
      <c r="G62" s="372"/>
      <c r="H62" s="333">
        <v>8.1999999999999993</v>
      </c>
      <c r="I62" s="372"/>
      <c r="J62" s="333">
        <v>1.4</v>
      </c>
      <c r="K62" s="372"/>
      <c r="L62" s="333">
        <v>11</v>
      </c>
      <c r="M62" s="372"/>
      <c r="N62" s="333">
        <v>2</v>
      </c>
      <c r="O62" s="372"/>
      <c r="P62" s="1245">
        <v>1</v>
      </c>
      <c r="Q62" s="372"/>
      <c r="R62" s="270"/>
      <c r="S62" s="372"/>
      <c r="T62" s="377"/>
      <c r="U62" s="372"/>
      <c r="V62" s="278"/>
      <c r="W62" s="265"/>
      <c r="X62" s="278"/>
      <c r="Y62" s="265"/>
      <c r="Z62" s="265"/>
      <c r="AA62" s="265"/>
      <c r="AB62" s="265">
        <v>0</v>
      </c>
      <c r="AC62" s="372"/>
      <c r="AD62" s="478"/>
      <c r="AE62" s="265">
        <f>ROUND(SUM(D62:AB62),1)</f>
        <v>28.7</v>
      </c>
      <c r="AF62" s="253"/>
      <c r="AG62" s="256"/>
      <c r="AH62" s="1321">
        <v>50.7</v>
      </c>
      <c r="AI62" s="520"/>
      <c r="AJ62" s="253"/>
      <c r="AK62" s="1214">
        <f>ROUND(SUM(+AE62-AH62),1)</f>
        <v>-22</v>
      </c>
      <c r="AL62" s="1214"/>
      <c r="AM62" s="3249">
        <f>ROUND(IF(AH62=0,0,AK62/(AH62)),3)</f>
        <v>-0.434</v>
      </c>
    </row>
    <row r="63" spans="1:39" ht="15" customHeight="1">
      <c r="A63" s="357"/>
      <c r="B63" s="386" t="s">
        <v>29</v>
      </c>
      <c r="C63" s="227"/>
      <c r="D63" s="278"/>
      <c r="E63" s="372"/>
      <c r="F63" s="278"/>
      <c r="G63" s="372"/>
      <c r="H63" s="324"/>
      <c r="I63" s="372"/>
      <c r="J63" s="324"/>
      <c r="K63" s="372"/>
      <c r="L63" s="324"/>
      <c r="M63" s="372"/>
      <c r="N63" s="324"/>
      <c r="O63" s="372"/>
      <c r="P63" s="325"/>
      <c r="Q63" s="372"/>
      <c r="R63" s="278"/>
      <c r="S63" s="372"/>
      <c r="T63" s="278"/>
      <c r="U63" s="372"/>
      <c r="V63" s="278"/>
      <c r="W63" s="265"/>
      <c r="X63" s="278"/>
      <c r="Y63" s="265"/>
      <c r="Z63" s="265"/>
      <c r="AA63" s="265"/>
      <c r="AB63" s="265"/>
      <c r="AC63" s="372"/>
      <c r="AD63" s="478"/>
      <c r="AE63" s="265"/>
      <c r="AF63" s="253"/>
      <c r="AG63" s="256"/>
      <c r="AH63" s="323"/>
      <c r="AI63" s="520"/>
      <c r="AJ63" s="253"/>
      <c r="AK63" s="1372"/>
      <c r="AL63" s="2931"/>
      <c r="AM63" s="3267"/>
    </row>
    <row r="64" spans="1:39" ht="15" customHeight="1">
      <c r="A64" s="357"/>
      <c r="B64" s="1864" t="s">
        <v>30</v>
      </c>
      <c r="C64" s="227"/>
      <c r="D64" s="278">
        <v>2253.8000000000002</v>
      </c>
      <c r="E64" s="372"/>
      <c r="F64" s="377">
        <v>2084.4</v>
      </c>
      <c r="G64" s="372"/>
      <c r="H64" s="333">
        <v>2569</v>
      </c>
      <c r="I64" s="372"/>
      <c r="J64" s="333">
        <v>2174.8000000000002</v>
      </c>
      <c r="K64" s="372"/>
      <c r="L64" s="333">
        <v>2567.1</v>
      </c>
      <c r="M64" s="372"/>
      <c r="N64" s="333">
        <v>2059</v>
      </c>
      <c r="O64" s="372"/>
      <c r="P64" s="1245">
        <v>2531.4</v>
      </c>
      <c r="Q64" s="372"/>
      <c r="R64" s="270"/>
      <c r="S64" s="372"/>
      <c r="T64" s="377"/>
      <c r="U64" s="372"/>
      <c r="V64" s="278"/>
      <c r="W64" s="265"/>
      <c r="X64" s="278"/>
      <c r="Y64" s="265"/>
      <c r="Z64" s="265"/>
      <c r="AA64" s="265"/>
      <c r="AB64" s="265">
        <v>0</v>
      </c>
      <c r="AC64" s="372"/>
      <c r="AD64" s="478"/>
      <c r="AE64" s="265">
        <f t="shared" ref="AE64:AE69" si="7">ROUND(SUM(D64:AB64),1)</f>
        <v>16239.5</v>
      </c>
      <c r="AF64" s="253"/>
      <c r="AG64" s="256"/>
      <c r="AH64" s="323">
        <v>14100.9</v>
      </c>
      <c r="AI64" s="520"/>
      <c r="AJ64" s="253"/>
      <c r="AK64" s="1214">
        <f t="shared" ref="AK64:AK69" si="8">ROUND(SUM(+AE64-AH64),1)</f>
        <v>2138.6</v>
      </c>
      <c r="AL64" s="1214"/>
      <c r="AM64" s="3249">
        <f t="shared" ref="AM64:AM69" si="9">ROUND(IF(AH64=0,0,AK64/(AH64)),3)</f>
        <v>0.152</v>
      </c>
    </row>
    <row r="65" spans="1:39" ht="15" customHeight="1">
      <c r="A65" s="357"/>
      <c r="B65" s="386" t="s">
        <v>31</v>
      </c>
      <c r="C65" s="227"/>
      <c r="D65" s="278">
        <v>142</v>
      </c>
      <c r="E65" s="372"/>
      <c r="F65" s="377">
        <v>116</v>
      </c>
      <c r="G65" s="372"/>
      <c r="H65" s="333">
        <v>113.4</v>
      </c>
      <c r="I65" s="372"/>
      <c r="J65" s="333">
        <v>132</v>
      </c>
      <c r="K65" s="372"/>
      <c r="L65" s="333">
        <v>232.5</v>
      </c>
      <c r="M65" s="372"/>
      <c r="N65" s="333">
        <v>122.9</v>
      </c>
      <c r="O65" s="372"/>
      <c r="P65" s="1245">
        <v>131.1</v>
      </c>
      <c r="Q65" s="372"/>
      <c r="R65" s="270"/>
      <c r="S65" s="372"/>
      <c r="T65" s="377"/>
      <c r="U65" s="372"/>
      <c r="V65" s="278"/>
      <c r="W65" s="265"/>
      <c r="X65" s="278"/>
      <c r="Y65" s="265"/>
      <c r="Z65" s="265"/>
      <c r="AA65" s="265"/>
      <c r="AB65" s="265">
        <v>0</v>
      </c>
      <c r="AC65" s="372"/>
      <c r="AD65" s="478"/>
      <c r="AE65" s="265">
        <f t="shared" si="7"/>
        <v>989.9</v>
      </c>
      <c r="AF65" s="253"/>
      <c r="AG65" s="256"/>
      <c r="AH65" s="323">
        <v>992.6</v>
      </c>
      <c r="AI65" s="520"/>
      <c r="AJ65" s="253"/>
      <c r="AK65" s="1214">
        <f t="shared" si="8"/>
        <v>-2.7</v>
      </c>
      <c r="AL65" s="1214"/>
      <c r="AM65" s="3249">
        <f t="shared" si="9"/>
        <v>-3.0000000000000001E-3</v>
      </c>
    </row>
    <row r="66" spans="1:39" ht="15" customHeight="1">
      <c r="A66" s="357"/>
      <c r="B66" s="386" t="s">
        <v>32</v>
      </c>
      <c r="C66" s="227"/>
      <c r="D66" s="278">
        <v>54.6</v>
      </c>
      <c r="E66" s="372"/>
      <c r="F66" s="377">
        <v>152.30000000000001</v>
      </c>
      <c r="G66" s="372"/>
      <c r="H66" s="333">
        <v>37.6</v>
      </c>
      <c r="I66" s="372"/>
      <c r="J66" s="333">
        <v>62.6</v>
      </c>
      <c r="K66" s="372"/>
      <c r="L66" s="333">
        <v>571.29999999999995</v>
      </c>
      <c r="M66" s="372"/>
      <c r="N66" s="333">
        <v>29.2</v>
      </c>
      <c r="O66" s="372"/>
      <c r="P66" s="1245">
        <v>33.9</v>
      </c>
      <c r="Q66" s="372"/>
      <c r="R66" s="270"/>
      <c r="S66" s="372"/>
      <c r="T66" s="377"/>
      <c r="U66" s="372"/>
      <c r="V66" s="278"/>
      <c r="W66" s="265"/>
      <c r="X66" s="278"/>
      <c r="Y66" s="265"/>
      <c r="Z66" s="265"/>
      <c r="AA66" s="265"/>
      <c r="AB66" s="265">
        <v>0</v>
      </c>
      <c r="AC66" s="372"/>
      <c r="AD66" s="478"/>
      <c r="AE66" s="265">
        <f t="shared" si="7"/>
        <v>941.5</v>
      </c>
      <c r="AF66" s="253"/>
      <c r="AG66" s="256"/>
      <c r="AH66" s="323">
        <v>1299.2</v>
      </c>
      <c r="AI66" s="520"/>
      <c r="AJ66" s="253"/>
      <c r="AK66" s="1214">
        <f t="shared" si="8"/>
        <v>-357.7</v>
      </c>
      <c r="AL66" s="1214"/>
      <c r="AM66" s="3249">
        <f t="shared" si="9"/>
        <v>-0.27500000000000002</v>
      </c>
    </row>
    <row r="67" spans="1:39" ht="15" customHeight="1">
      <c r="A67" s="357"/>
      <c r="B67" s="386" t="s">
        <v>33</v>
      </c>
      <c r="C67" s="227"/>
      <c r="D67" s="278">
        <v>363.7</v>
      </c>
      <c r="E67" s="372"/>
      <c r="F67" s="377">
        <v>260.60000000000002</v>
      </c>
      <c r="G67" s="372"/>
      <c r="H67" s="333">
        <v>467.9</v>
      </c>
      <c r="I67" s="372"/>
      <c r="J67" s="333">
        <v>352.5</v>
      </c>
      <c r="K67" s="372"/>
      <c r="L67" s="333">
        <v>317.89999999999998</v>
      </c>
      <c r="M67" s="372"/>
      <c r="N67" s="333">
        <v>775</v>
      </c>
      <c r="O67" s="372"/>
      <c r="P67" s="1245">
        <v>221.7</v>
      </c>
      <c r="Q67" s="372"/>
      <c r="R67" s="270"/>
      <c r="S67" s="372"/>
      <c r="T67" s="377"/>
      <c r="U67" s="372"/>
      <c r="V67" s="278"/>
      <c r="W67" s="265"/>
      <c r="X67" s="278"/>
      <c r="Y67" s="265"/>
      <c r="Z67" s="265"/>
      <c r="AA67" s="265"/>
      <c r="AB67" s="265">
        <v>0</v>
      </c>
      <c r="AC67" s="372"/>
      <c r="AD67" s="478"/>
      <c r="AE67" s="265">
        <f t="shared" si="7"/>
        <v>2759.3</v>
      </c>
      <c r="AF67" s="253"/>
      <c r="AG67" s="256"/>
      <c r="AH67" s="323">
        <v>2896.1</v>
      </c>
      <c r="AI67" s="520"/>
      <c r="AJ67" s="253"/>
      <c r="AK67" s="1214">
        <f t="shared" si="8"/>
        <v>-136.80000000000001</v>
      </c>
      <c r="AL67" s="1214"/>
      <c r="AM67" s="3249">
        <f t="shared" si="9"/>
        <v>-4.7E-2</v>
      </c>
    </row>
    <row r="68" spans="1:39" ht="15" customHeight="1">
      <c r="A68" s="357"/>
      <c r="B68" s="386" t="s">
        <v>34</v>
      </c>
      <c r="C68" s="227"/>
      <c r="D68" s="521">
        <v>0</v>
      </c>
      <c r="E68" s="372"/>
      <c r="F68" s="377">
        <v>0</v>
      </c>
      <c r="G68" s="372"/>
      <c r="H68" s="333">
        <v>1.5</v>
      </c>
      <c r="I68" s="372"/>
      <c r="J68" s="333">
        <v>0</v>
      </c>
      <c r="K68" s="372"/>
      <c r="L68" s="333">
        <v>0</v>
      </c>
      <c r="M68" s="372"/>
      <c r="N68" s="333">
        <v>1.6</v>
      </c>
      <c r="O68" s="372"/>
      <c r="P68" s="1245">
        <v>0</v>
      </c>
      <c r="Q68" s="372"/>
      <c r="R68" s="377"/>
      <c r="S68" s="372"/>
      <c r="T68" s="377"/>
      <c r="U68" s="372"/>
      <c r="V68" s="377"/>
      <c r="W68" s="265"/>
      <c r="X68" s="278"/>
      <c r="Y68" s="265"/>
      <c r="Z68" s="265"/>
      <c r="AA68" s="265"/>
      <c r="AB68" s="265">
        <v>0</v>
      </c>
      <c r="AC68" s="372"/>
      <c r="AD68" s="478"/>
      <c r="AE68" s="265">
        <f t="shared" si="7"/>
        <v>3.1</v>
      </c>
      <c r="AF68" s="253"/>
      <c r="AG68" s="256"/>
      <c r="AH68" s="1321">
        <v>3.9</v>
      </c>
      <c r="AI68" s="520"/>
      <c r="AJ68" s="253"/>
      <c r="AK68" s="1214">
        <f t="shared" si="8"/>
        <v>-0.8</v>
      </c>
      <c r="AL68" s="1214"/>
      <c r="AM68" s="3249">
        <f t="shared" si="9"/>
        <v>-0.20499999999999999</v>
      </c>
    </row>
    <row r="69" spans="1:39" ht="15" customHeight="1">
      <c r="A69" s="357"/>
      <c r="B69" s="386" t="s">
        <v>35</v>
      </c>
      <c r="C69" s="227"/>
      <c r="D69" s="278">
        <v>2.2000000000000002</v>
      </c>
      <c r="E69" s="372"/>
      <c r="F69" s="377">
        <v>4.4000000000000004</v>
      </c>
      <c r="G69" s="372"/>
      <c r="H69" s="333">
        <v>6.1</v>
      </c>
      <c r="I69" s="372"/>
      <c r="J69" s="333">
        <v>4</v>
      </c>
      <c r="K69" s="372"/>
      <c r="L69" s="333">
        <v>5.4</v>
      </c>
      <c r="M69" s="372"/>
      <c r="N69" s="333">
        <v>3.8</v>
      </c>
      <c r="O69" s="372"/>
      <c r="P69" s="1245">
        <v>6.4</v>
      </c>
      <c r="Q69" s="372"/>
      <c r="R69" s="270"/>
      <c r="S69" s="372"/>
      <c r="T69" s="377"/>
      <c r="U69" s="372"/>
      <c r="V69" s="278"/>
      <c r="W69" s="265"/>
      <c r="X69" s="278"/>
      <c r="Y69" s="265"/>
      <c r="Z69" s="494"/>
      <c r="AA69" s="253"/>
      <c r="AB69" s="494">
        <v>0</v>
      </c>
      <c r="AC69" s="372"/>
      <c r="AD69" s="478"/>
      <c r="AE69" s="265">
        <f t="shared" si="7"/>
        <v>32.299999999999997</v>
      </c>
      <c r="AF69" s="253"/>
      <c r="AG69" s="256"/>
      <c r="AH69" s="531">
        <v>27.3</v>
      </c>
      <c r="AI69" s="520"/>
      <c r="AJ69" s="253"/>
      <c r="AK69" s="1214">
        <f t="shared" si="8"/>
        <v>5</v>
      </c>
      <c r="AL69" s="2176"/>
      <c r="AM69" s="3249">
        <f t="shared" si="9"/>
        <v>0.183</v>
      </c>
    </row>
    <row r="70" spans="1:39" ht="15" customHeight="1">
      <c r="A70" s="357"/>
      <c r="B70" s="225" t="s">
        <v>1688</v>
      </c>
      <c r="C70" s="227"/>
      <c r="D70" s="550">
        <f>ROUND(SUM(D60:D69),2)</f>
        <v>3264.8</v>
      </c>
      <c r="E70" s="414"/>
      <c r="F70" s="550">
        <f>ROUND(SUM(F60:F69),2)</f>
        <v>3072.7</v>
      </c>
      <c r="G70" s="373"/>
      <c r="H70" s="550">
        <f>ROUND(SUM(H60:H69),2)</f>
        <v>3548.7</v>
      </c>
      <c r="I70" s="414"/>
      <c r="J70" s="550">
        <f>ROUND(SUM(J60:J69),2)</f>
        <v>2953</v>
      </c>
      <c r="K70" s="414"/>
      <c r="L70" s="550">
        <f>ROUND(SUM(L60:L69),2)</f>
        <v>3869.9</v>
      </c>
      <c r="M70" s="414"/>
      <c r="N70" s="550">
        <f>ROUND(SUM(N60:N69),2)</f>
        <v>3101.9</v>
      </c>
      <c r="O70" s="414"/>
      <c r="P70" s="550">
        <f>ROUND(SUM(P60:P69),2)</f>
        <v>3113.8</v>
      </c>
      <c r="Q70" s="414"/>
      <c r="R70" s="550">
        <f>ROUND(SUM(R60:R69),2)</f>
        <v>0</v>
      </c>
      <c r="S70" s="414"/>
      <c r="T70" s="550">
        <f>ROUND(SUM(T60:T69),2)</f>
        <v>0</v>
      </c>
      <c r="U70" s="414"/>
      <c r="V70" s="550">
        <f>ROUND(SUM(V60:V69),2)</f>
        <v>0</v>
      </c>
      <c r="W70" s="261"/>
      <c r="X70" s="550">
        <f>ROUND(SUM(X60:X69),2)</f>
        <v>0</v>
      </c>
      <c r="Y70" s="261"/>
      <c r="Z70" s="550">
        <f>ROUND(SUM(Z60:Z69),2)</f>
        <v>0</v>
      </c>
      <c r="AA70" s="277"/>
      <c r="AB70" s="550">
        <f>ROUND(SUM(AB60:AB69),2)</f>
        <v>0</v>
      </c>
      <c r="AC70" s="414"/>
      <c r="AD70" s="485"/>
      <c r="AE70" s="550">
        <f>ROUND(SUM(AE60:AE69),2)</f>
        <v>22924.799999999999</v>
      </c>
      <c r="AF70" s="277"/>
      <c r="AG70" s="760"/>
      <c r="AH70" s="532">
        <f>ROUND(SUM(AH60:AH69),1)</f>
        <v>21646</v>
      </c>
      <c r="AI70" s="527"/>
      <c r="AJ70" s="277"/>
      <c r="AK70" s="1408">
        <f>ROUND(SUM(AE70-AH70),1)</f>
        <v>1278.8</v>
      </c>
      <c r="AL70" s="529"/>
      <c r="AM70" s="3265">
        <f>ROUND(SUM((AE70-AH70)/AH70),3)</f>
        <v>5.8999999999999997E-2</v>
      </c>
    </row>
    <row r="71" spans="1:39" ht="15" customHeight="1">
      <c r="A71" s="357"/>
      <c r="B71" s="227" t="s">
        <v>160</v>
      </c>
      <c r="C71" s="227"/>
      <c r="D71" s="372"/>
      <c r="E71" s="372"/>
      <c r="F71" s="265"/>
      <c r="G71" s="372"/>
      <c r="H71" s="265"/>
      <c r="I71" s="372"/>
      <c r="J71" s="265"/>
      <c r="K71" s="372"/>
      <c r="L71" s="265"/>
      <c r="M71" s="372"/>
      <c r="N71" s="265"/>
      <c r="O71" s="372"/>
      <c r="P71" s="265"/>
      <c r="Q71" s="372"/>
      <c r="R71" s="265"/>
      <c r="S71" s="372"/>
      <c r="T71" s="265"/>
      <c r="U71" s="372"/>
      <c r="V71" s="265"/>
      <c r="W71" s="265"/>
      <c r="X71" s="265"/>
      <c r="Y71" s="265"/>
      <c r="Z71" s="265"/>
      <c r="AA71" s="265"/>
      <c r="AB71" s="265"/>
      <c r="AC71" s="372"/>
      <c r="AD71" s="478"/>
      <c r="AE71" s="372"/>
      <c r="AF71" s="257"/>
      <c r="AG71" s="546"/>
      <c r="AH71" s="372"/>
      <c r="AI71" s="547"/>
      <c r="AJ71" s="233"/>
      <c r="AK71" s="3159"/>
      <c r="AL71" s="3159"/>
      <c r="AM71" s="3269"/>
    </row>
    <row r="72" spans="1:39" ht="15" customHeight="1">
      <c r="A72" s="357"/>
      <c r="B72" s="227" t="s">
        <v>161</v>
      </c>
      <c r="C72" s="227"/>
      <c r="D72" s="278">
        <v>49.1</v>
      </c>
      <c r="E72" s="372"/>
      <c r="F72" s="377">
        <v>44.4</v>
      </c>
      <c r="G72" s="372"/>
      <c r="H72" s="333">
        <v>49.6</v>
      </c>
      <c r="I72" s="372"/>
      <c r="J72" s="333">
        <v>66.099999999999994</v>
      </c>
      <c r="K72" s="372"/>
      <c r="L72" s="333">
        <v>50.6</v>
      </c>
      <c r="M72" s="372"/>
      <c r="N72" s="333">
        <v>48.6</v>
      </c>
      <c r="O72" s="372"/>
      <c r="P72" s="1245">
        <v>48</v>
      </c>
      <c r="Q72" s="372"/>
      <c r="R72" s="270"/>
      <c r="S72" s="372"/>
      <c r="T72" s="377"/>
      <c r="U72" s="372"/>
      <c r="V72" s="278"/>
      <c r="W72" s="265"/>
      <c r="X72" s="278"/>
      <c r="Y72" s="265"/>
      <c r="Z72" s="265"/>
      <c r="AA72" s="265"/>
      <c r="AB72" s="265">
        <v>0</v>
      </c>
      <c r="AC72" s="372"/>
      <c r="AD72" s="478"/>
      <c r="AE72" s="265">
        <f>ROUND(SUM(D72:AB72),1)</f>
        <v>356.4</v>
      </c>
      <c r="AF72" s="1409"/>
      <c r="AG72" s="256"/>
      <c r="AH72" s="265">
        <v>349.8</v>
      </c>
      <c r="AI72" s="520"/>
      <c r="AJ72" s="253"/>
      <c r="AK72" s="1214">
        <f>ROUND(SUM(+AE72-AH72),1)</f>
        <v>6.6</v>
      </c>
      <c r="AL72" s="1214"/>
      <c r="AM72" s="3249">
        <f>ROUND(IF(AH72=0,0,AK72/(AH72)),3)</f>
        <v>1.9E-2</v>
      </c>
    </row>
    <row r="73" spans="1:39" ht="15" customHeight="1">
      <c r="A73" s="357"/>
      <c r="B73" s="227" t="s">
        <v>189</v>
      </c>
      <c r="C73" s="227"/>
      <c r="D73" s="278">
        <v>89.3</v>
      </c>
      <c r="E73" s="372"/>
      <c r="F73" s="377">
        <v>64.3</v>
      </c>
      <c r="G73" s="372"/>
      <c r="H73" s="333">
        <v>53.9</v>
      </c>
      <c r="I73" s="372"/>
      <c r="J73" s="333">
        <v>96.1</v>
      </c>
      <c r="K73" s="372"/>
      <c r="L73" s="333">
        <v>104.4</v>
      </c>
      <c r="M73" s="372"/>
      <c r="N73" s="333">
        <v>189.3</v>
      </c>
      <c r="O73" s="372"/>
      <c r="P73" s="1245">
        <v>127.9</v>
      </c>
      <c r="Q73" s="372"/>
      <c r="R73" s="270"/>
      <c r="S73" s="372"/>
      <c r="T73" s="377"/>
      <c r="U73" s="372"/>
      <c r="V73" s="278"/>
      <c r="W73" s="265"/>
      <c r="X73" s="278"/>
      <c r="Y73" s="265"/>
      <c r="Z73" s="265"/>
      <c r="AA73" s="265"/>
      <c r="AB73" s="265">
        <v>0</v>
      </c>
      <c r="AC73" s="372"/>
      <c r="AD73" s="478"/>
      <c r="AE73" s="265">
        <f>ROUND(SUM(D73:AB73),1)</f>
        <v>725.2</v>
      </c>
      <c r="AF73" s="1409"/>
      <c r="AG73" s="256"/>
      <c r="AH73" s="265">
        <v>562.6</v>
      </c>
      <c r="AI73" s="520"/>
      <c r="AJ73" s="253"/>
      <c r="AK73" s="1214">
        <f>ROUND(SUM(+AE73-AH73),1)</f>
        <v>162.6</v>
      </c>
      <c r="AL73" s="1214"/>
      <c r="AM73" s="3249">
        <f>ROUND(IF(AH73=0,0,AK73/(AH73)),3)</f>
        <v>0.28899999999999998</v>
      </c>
    </row>
    <row r="74" spans="1:39" ht="15" customHeight="1">
      <c r="A74" s="357"/>
      <c r="B74" s="227" t="s">
        <v>163</v>
      </c>
      <c r="C74" s="227"/>
      <c r="D74" s="521">
        <v>9.3000000000000007</v>
      </c>
      <c r="E74" s="372"/>
      <c r="F74" s="377">
        <v>6.6</v>
      </c>
      <c r="G74" s="372"/>
      <c r="H74" s="333">
        <v>50.7</v>
      </c>
      <c r="I74" s="372"/>
      <c r="J74" s="333">
        <v>3.2</v>
      </c>
      <c r="K74" s="372"/>
      <c r="L74" s="333">
        <v>42.3</v>
      </c>
      <c r="M74" s="372"/>
      <c r="N74" s="333">
        <v>10.199999999999999</v>
      </c>
      <c r="O74" s="372"/>
      <c r="P74" s="1245">
        <v>32.9</v>
      </c>
      <c r="Q74" s="372"/>
      <c r="R74" s="270"/>
      <c r="S74" s="372"/>
      <c r="T74" s="377"/>
      <c r="U74" s="372"/>
      <c r="V74" s="278"/>
      <c r="W74" s="265"/>
      <c r="X74" s="278"/>
      <c r="Y74" s="265"/>
      <c r="Z74" s="265"/>
      <c r="AA74" s="265"/>
      <c r="AB74" s="265">
        <v>0</v>
      </c>
      <c r="AC74" s="372"/>
      <c r="AD74" s="478"/>
      <c r="AE74" s="265">
        <f>ROUND(SUM(D74:AB74),1)</f>
        <v>155.19999999999999</v>
      </c>
      <c r="AF74" s="1409"/>
      <c r="AG74" s="256"/>
      <c r="AH74" s="268">
        <v>137.6</v>
      </c>
      <c r="AI74" s="520"/>
      <c r="AJ74" s="253"/>
      <c r="AK74" s="1214">
        <f>ROUND(SUM(+AE74-AH74),1)</f>
        <v>17.600000000000001</v>
      </c>
      <c r="AL74" s="1214"/>
      <c r="AM74" s="3249">
        <f>ROUND(IF(AH74=0,0,AK74/(AH74)),3)</f>
        <v>0.128</v>
      </c>
    </row>
    <row r="75" spans="1:39" ht="15" customHeight="1">
      <c r="A75" s="357"/>
      <c r="B75" s="227" t="s">
        <v>190</v>
      </c>
      <c r="C75" s="227"/>
      <c r="D75" s="377">
        <v>0</v>
      </c>
      <c r="E75" s="372"/>
      <c r="F75" s="377">
        <v>0</v>
      </c>
      <c r="G75" s="372"/>
      <c r="H75" s="269">
        <v>0</v>
      </c>
      <c r="I75" s="372"/>
      <c r="J75" s="377">
        <v>0</v>
      </c>
      <c r="K75" s="372"/>
      <c r="L75" s="377">
        <v>0</v>
      </c>
      <c r="M75" s="372"/>
      <c r="N75" s="377">
        <v>0</v>
      </c>
      <c r="O75" s="372"/>
      <c r="P75" s="1245">
        <v>0</v>
      </c>
      <c r="Q75" s="372"/>
      <c r="R75" s="377"/>
      <c r="S75" s="372"/>
      <c r="T75" s="377"/>
      <c r="U75" s="372"/>
      <c r="V75" s="377"/>
      <c r="W75" s="265"/>
      <c r="X75" s="278"/>
      <c r="Y75" s="265"/>
      <c r="Z75" s="283"/>
      <c r="AA75" s="269"/>
      <c r="AB75" s="283">
        <v>0</v>
      </c>
      <c r="AC75" s="372"/>
      <c r="AD75" s="478"/>
      <c r="AE75" s="265">
        <f>ROUND(SUM(D75:AB75),1)</f>
        <v>0</v>
      </c>
      <c r="AF75" s="259"/>
      <c r="AG75" s="1410"/>
      <c r="AH75" s="377">
        <v>0</v>
      </c>
      <c r="AI75" s="520"/>
      <c r="AJ75" s="253"/>
      <c r="AK75" s="1214">
        <f>ROUND(SUM(+AE75-AH75),1)</f>
        <v>0</v>
      </c>
      <c r="AL75" s="2176"/>
      <c r="AM75" s="3252">
        <f>ROUND(IF(AH75=0,0,AK75/(AH75)),3)</f>
        <v>0</v>
      </c>
    </row>
    <row r="76" spans="1:39" ht="15" customHeight="1">
      <c r="A76" s="357"/>
      <c r="B76" s="227"/>
      <c r="C76" s="227"/>
      <c r="D76" s="375"/>
      <c r="E76" s="372"/>
      <c r="F76" s="293"/>
      <c r="G76" s="372"/>
      <c r="H76" s="293"/>
      <c r="I76" s="372"/>
      <c r="J76" s="293"/>
      <c r="K76" s="372"/>
      <c r="L76" s="293"/>
      <c r="M76" s="372"/>
      <c r="N76" s="293"/>
      <c r="O76" s="372"/>
      <c r="P76" s="293"/>
      <c r="Q76" s="372"/>
      <c r="R76" s="293"/>
      <c r="S76" s="372"/>
      <c r="T76" s="293"/>
      <c r="U76" s="372"/>
      <c r="V76" s="293"/>
      <c r="W76" s="265"/>
      <c r="X76" s="293"/>
      <c r="Y76" s="265"/>
      <c r="Z76" s="293"/>
      <c r="AA76" s="253"/>
      <c r="AB76" s="293"/>
      <c r="AC76" s="372"/>
      <c r="AD76" s="478"/>
      <c r="AE76" s="293"/>
      <c r="AF76" s="253"/>
      <c r="AG76" s="256"/>
      <c r="AH76" s="293"/>
      <c r="AI76" s="520"/>
      <c r="AJ76" s="253"/>
      <c r="AK76" s="1405"/>
      <c r="AL76" s="3159"/>
      <c r="AM76" s="3260"/>
    </row>
    <row r="77" spans="1:39" ht="15" customHeight="1">
      <c r="A77" s="357"/>
      <c r="B77" s="225" t="s">
        <v>164</v>
      </c>
      <c r="C77" s="227"/>
      <c r="D77" s="261">
        <f>ROUND(SUM(D70:D75),1)</f>
        <v>3412.5</v>
      </c>
      <c r="E77" s="414"/>
      <c r="F77" s="261">
        <f>ROUND(SUM(F70:F75),1)</f>
        <v>3188</v>
      </c>
      <c r="G77" s="414"/>
      <c r="H77" s="261">
        <f>ROUND(SUM(H70:H75),1)</f>
        <v>3702.9</v>
      </c>
      <c r="I77" s="414"/>
      <c r="J77" s="261">
        <f>ROUND(SUM(J70:J75),1)</f>
        <v>3118.4</v>
      </c>
      <c r="K77" s="414"/>
      <c r="L77" s="2154">
        <f>ROUND(SUM(L70:L75),1)</f>
        <v>4067.2</v>
      </c>
      <c r="M77" s="414"/>
      <c r="N77" s="261">
        <f>ROUND(SUM(N70:N75),1)</f>
        <v>3350</v>
      </c>
      <c r="O77" s="414"/>
      <c r="P77" s="261">
        <f>ROUND(SUM(P70:P75),1)</f>
        <v>3322.6</v>
      </c>
      <c r="Q77" s="414"/>
      <c r="R77" s="261">
        <f>ROUND(SUM(R70:R75),1)</f>
        <v>0</v>
      </c>
      <c r="S77" s="414"/>
      <c r="T77" s="261">
        <f>ROUND(SUM(T70:T75),1)</f>
        <v>0</v>
      </c>
      <c r="U77" s="414"/>
      <c r="V77" s="261">
        <f>ROUND(SUM(V70:V75),1)</f>
        <v>0</v>
      </c>
      <c r="W77" s="261"/>
      <c r="X77" s="261">
        <f>ROUND(SUM(X70:X75),1)</f>
        <v>0</v>
      </c>
      <c r="Y77" s="261"/>
      <c r="Z77" s="261">
        <f>ROUND(SUM(Z70:Z75),1)</f>
        <v>0</v>
      </c>
      <c r="AA77" s="2154"/>
      <c r="AB77" s="2154">
        <f>ROUND(SUM(AB70:AB75),1)</f>
        <v>0</v>
      </c>
      <c r="AC77" s="414"/>
      <c r="AD77" s="485"/>
      <c r="AE77" s="261">
        <f>ROUND(SUM(AE70:AE75),1)</f>
        <v>24161.599999999999</v>
      </c>
      <c r="AF77" s="277"/>
      <c r="AG77" s="760"/>
      <c r="AH77" s="261">
        <f>ROUND(SUM(AH70:AH75),1)</f>
        <v>22696</v>
      </c>
      <c r="AI77" s="527"/>
      <c r="AJ77" s="277"/>
      <c r="AK77" s="528">
        <f>ROUND(SUM(AE77-AH77),1)</f>
        <v>1465.6</v>
      </c>
      <c r="AL77" s="559"/>
      <c r="AM77" s="3270">
        <f>ROUND(SUM((AE77-AH77)/AH77),3)</f>
        <v>6.5000000000000002E-2</v>
      </c>
    </row>
    <row r="78" spans="1:39" ht="15" customHeight="1">
      <c r="A78" s="357"/>
      <c r="B78" s="227"/>
      <c r="C78" s="227"/>
      <c r="D78" s="375"/>
      <c r="E78" s="372"/>
      <c r="F78" s="293"/>
      <c r="G78" s="372"/>
      <c r="H78" s="293"/>
      <c r="I78" s="372"/>
      <c r="J78" s="293"/>
      <c r="K78" s="372"/>
      <c r="L78" s="293"/>
      <c r="M78" s="372"/>
      <c r="N78" s="293"/>
      <c r="O78" s="372"/>
      <c r="P78" s="293"/>
      <c r="Q78" s="372"/>
      <c r="R78" s="293"/>
      <c r="S78" s="372"/>
      <c r="T78" s="293"/>
      <c r="U78" s="372"/>
      <c r="V78" s="293"/>
      <c r="W78" s="265"/>
      <c r="X78" s="293"/>
      <c r="Y78" s="265"/>
      <c r="Z78" s="293"/>
      <c r="AA78" s="253"/>
      <c r="AB78" s="293"/>
      <c r="AC78" s="372"/>
      <c r="AD78" s="478"/>
      <c r="AE78" s="293"/>
      <c r="AF78" s="253"/>
      <c r="AG78" s="256"/>
      <c r="AH78" s="293"/>
      <c r="AI78" s="520"/>
      <c r="AJ78" s="1411"/>
      <c r="AK78" s="1372"/>
      <c r="AL78" s="3159"/>
      <c r="AM78" s="3269"/>
    </row>
    <row r="79" spans="1:39" ht="15" customHeight="1">
      <c r="A79" s="357"/>
      <c r="B79" s="225" t="s">
        <v>165</v>
      </c>
      <c r="C79" s="227"/>
      <c r="D79" s="372"/>
      <c r="E79" s="372"/>
      <c r="F79" s="265"/>
      <c r="G79" s="372"/>
      <c r="H79" s="265"/>
      <c r="I79" s="372"/>
      <c r="J79" s="265"/>
      <c r="K79" s="372"/>
      <c r="L79" s="265"/>
      <c r="M79" s="372"/>
      <c r="N79" s="265"/>
      <c r="O79" s="372"/>
      <c r="P79" s="265"/>
      <c r="Q79" s="372"/>
      <c r="R79" s="265"/>
      <c r="S79" s="372"/>
      <c r="T79" s="265"/>
      <c r="U79" s="372"/>
      <c r="V79" s="265"/>
      <c r="W79" s="265"/>
      <c r="X79" s="265"/>
      <c r="Y79" s="265"/>
      <c r="Z79" s="265"/>
      <c r="AA79" s="265"/>
      <c r="AB79" s="265"/>
      <c r="AC79" s="372"/>
      <c r="AD79" s="478"/>
      <c r="AE79" s="265" t="s">
        <v>166</v>
      </c>
      <c r="AF79" s="1749"/>
      <c r="AG79" s="1750"/>
      <c r="AH79" s="253"/>
      <c r="AI79" s="520"/>
      <c r="AJ79" s="1743"/>
      <c r="AK79" s="1372"/>
      <c r="AL79" s="3159"/>
      <c r="AM79" s="3269"/>
    </row>
    <row r="80" spans="1:39" ht="15" customHeight="1">
      <c r="A80" s="357"/>
      <c r="B80" s="225" t="s">
        <v>46</v>
      </c>
      <c r="C80" s="227"/>
      <c r="D80" s="261">
        <f>ROUND(SUM(D56-D77),1)</f>
        <v>-534.20000000000005</v>
      </c>
      <c r="E80" s="414"/>
      <c r="F80" s="2154">
        <f>ROUND(SUM(F56-F77),1)</f>
        <v>692.1</v>
      </c>
      <c r="G80" s="414"/>
      <c r="H80" s="2154">
        <f>ROUND(SUM(H56-H77),1)</f>
        <v>228.2</v>
      </c>
      <c r="I80" s="414"/>
      <c r="J80" s="2154">
        <f>ROUND(SUM(J56-J77),1)</f>
        <v>120.7</v>
      </c>
      <c r="K80" s="414"/>
      <c r="L80" s="2154">
        <f>ROUND(SUM(L56-L77),1)</f>
        <v>-14</v>
      </c>
      <c r="M80" s="414"/>
      <c r="N80" s="2154">
        <f>ROUND(SUM(N56-N77),1)</f>
        <v>543.5</v>
      </c>
      <c r="O80" s="414"/>
      <c r="P80" s="2154">
        <f>ROUND(SUM(P56-P77),1)</f>
        <v>300</v>
      </c>
      <c r="Q80" s="414"/>
      <c r="R80" s="2154">
        <f>ROUND(SUM(R56-R77),1)</f>
        <v>0</v>
      </c>
      <c r="S80" s="414"/>
      <c r="T80" s="2154">
        <f>ROUND(SUM(T56-T77),1)</f>
        <v>0</v>
      </c>
      <c r="U80" s="414"/>
      <c r="V80" s="2154">
        <f>ROUND(SUM(V56-V77),1)</f>
        <v>0</v>
      </c>
      <c r="W80" s="261"/>
      <c r="X80" s="2154">
        <f>ROUND(SUM(X56-X77),1)</f>
        <v>0</v>
      </c>
      <c r="Y80" s="261"/>
      <c r="Z80" s="2154">
        <f>ROUND(SUM(Z56-Z77),1)</f>
        <v>0</v>
      </c>
      <c r="AA80" s="2154"/>
      <c r="AB80" s="2154">
        <f>ROUND(SUM(AB56-AB77),1)</f>
        <v>0</v>
      </c>
      <c r="AC80" s="414"/>
      <c r="AD80" s="485"/>
      <c r="AE80" s="261">
        <f>ROUND(SUM(AE56-AE77),1)</f>
        <v>1336.3</v>
      </c>
      <c r="AF80" s="277"/>
      <c r="AG80" s="760"/>
      <c r="AH80" s="261">
        <f>ROUND(SUM(AH56-AH77),1)</f>
        <v>1474.5</v>
      </c>
      <c r="AI80" s="527"/>
      <c r="AJ80" s="277"/>
      <c r="AK80" s="528">
        <f>ROUND(SUM(AE80-AH80),1)</f>
        <v>-138.19999999999999</v>
      </c>
      <c r="AL80" s="416"/>
      <c r="AM80" s="3270">
        <f>ROUND(SUM((AE80-AH80)/AH80),3)</f>
        <v>-9.4E-2</v>
      </c>
    </row>
    <row r="81" spans="1:52" ht="15" customHeight="1">
      <c r="A81" s="357"/>
      <c r="B81" s="227"/>
      <c r="C81" s="227"/>
      <c r="D81" s="375"/>
      <c r="E81" s="372"/>
      <c r="F81" s="293"/>
      <c r="G81" s="372"/>
      <c r="H81" s="293"/>
      <c r="I81" s="372"/>
      <c r="J81" s="293"/>
      <c r="K81" s="372"/>
      <c r="L81" s="293"/>
      <c r="M81" s="372"/>
      <c r="N81" s="293"/>
      <c r="O81" s="372"/>
      <c r="P81" s="293"/>
      <c r="Q81" s="372"/>
      <c r="R81" s="293"/>
      <c r="S81" s="372"/>
      <c r="T81" s="293"/>
      <c r="U81" s="372"/>
      <c r="V81" s="293"/>
      <c r="W81" s="265"/>
      <c r="X81" s="293"/>
      <c r="Y81" s="265"/>
      <c r="Z81" s="293"/>
      <c r="AA81" s="253"/>
      <c r="AB81" s="293"/>
      <c r="AC81" s="372"/>
      <c r="AD81" s="478"/>
      <c r="AE81" s="293"/>
      <c r="AF81" s="253"/>
      <c r="AG81" s="256"/>
      <c r="AH81" s="293"/>
      <c r="AI81" s="520"/>
      <c r="AJ81" s="253"/>
      <c r="AK81" s="1372"/>
      <c r="AL81" s="3159"/>
      <c r="AM81" s="3269"/>
    </row>
    <row r="82" spans="1:52" ht="15" customHeight="1">
      <c r="A82" s="357"/>
      <c r="B82" s="225" t="s">
        <v>47</v>
      </c>
      <c r="C82" s="227"/>
      <c r="D82" s="372"/>
      <c r="E82" s="372"/>
      <c r="F82" s="265"/>
      <c r="G82" s="372"/>
      <c r="H82" s="265"/>
      <c r="I82" s="372"/>
      <c r="J82" s="265"/>
      <c r="K82" s="372"/>
      <c r="L82" s="265"/>
      <c r="M82" s="372"/>
      <c r="N82" s="265"/>
      <c r="O82" s="372"/>
      <c r="P82" s="265"/>
      <c r="Q82" s="372"/>
      <c r="R82" s="265"/>
      <c r="S82" s="372"/>
      <c r="T82" s="265"/>
      <c r="U82" s="372"/>
      <c r="V82" s="265"/>
      <c r="W82" s="265"/>
      <c r="X82" s="265"/>
      <c r="Y82" s="265"/>
      <c r="Z82" s="265"/>
      <c r="AA82" s="265"/>
      <c r="AB82" s="265"/>
      <c r="AC82" s="372"/>
      <c r="AD82" s="478"/>
      <c r="AE82" s="265"/>
      <c r="AF82" s="253"/>
      <c r="AG82" s="256"/>
      <c r="AH82" s="265"/>
      <c r="AI82" s="520"/>
      <c r="AJ82" s="253"/>
      <c r="AK82" s="1372"/>
      <c r="AL82" s="3159"/>
      <c r="AM82" s="3269"/>
    </row>
    <row r="83" spans="1:52" ht="15" customHeight="1">
      <c r="A83" s="357"/>
      <c r="B83" s="227" t="s">
        <v>191</v>
      </c>
      <c r="C83" s="227"/>
      <c r="D83" s="377">
        <v>0</v>
      </c>
      <c r="E83" s="372"/>
      <c r="F83" s="377">
        <v>0</v>
      </c>
      <c r="G83" s="372"/>
      <c r="H83" s="377">
        <v>0</v>
      </c>
      <c r="I83" s="372"/>
      <c r="J83" s="377">
        <v>0</v>
      </c>
      <c r="K83" s="372"/>
      <c r="L83" s="377">
        <v>0</v>
      </c>
      <c r="M83" s="372"/>
      <c r="N83" s="377">
        <v>0</v>
      </c>
      <c r="O83" s="372"/>
      <c r="P83" s="1245">
        <v>0</v>
      </c>
      <c r="Q83" s="378"/>
      <c r="R83" s="377"/>
      <c r="S83" s="372"/>
      <c r="T83" s="377"/>
      <c r="U83" s="372"/>
      <c r="V83" s="377"/>
      <c r="W83" s="265"/>
      <c r="X83" s="278"/>
      <c r="Y83" s="265"/>
      <c r="Z83" s="377"/>
      <c r="AA83" s="377"/>
      <c r="AB83" s="377">
        <v>0</v>
      </c>
      <c r="AC83" s="372"/>
      <c r="AD83" s="478"/>
      <c r="AE83" s="265">
        <f>ROUND(SUM(D83:AB83),1)</f>
        <v>0</v>
      </c>
      <c r="AF83" s="259"/>
      <c r="AG83" s="256"/>
      <c r="AH83" s="377">
        <v>0</v>
      </c>
      <c r="AI83" s="520"/>
      <c r="AJ83" s="253"/>
      <c r="AK83" s="1404">
        <f>ROUND(SUM(+AE83-AH83),1)</f>
        <v>0</v>
      </c>
      <c r="AL83" s="2176"/>
      <c r="AM83" s="3249">
        <f>ROUND(IF(AH83=0,0,AK83/(AH83)),3)</f>
        <v>0</v>
      </c>
    </row>
    <row r="84" spans="1:52" ht="15" customHeight="1">
      <c r="A84" s="357"/>
      <c r="B84" s="227" t="s">
        <v>192</v>
      </c>
      <c r="C84" s="227"/>
      <c r="D84" s="278">
        <v>-183.7</v>
      </c>
      <c r="E84" s="372"/>
      <c r="F84" s="377">
        <v>-178.4</v>
      </c>
      <c r="G84" s="372"/>
      <c r="H84" s="333">
        <v>-97.9</v>
      </c>
      <c r="I84" s="372"/>
      <c r="J84" s="333">
        <v>-101.6</v>
      </c>
      <c r="K84" s="372"/>
      <c r="L84" s="333">
        <v>-279.2</v>
      </c>
      <c r="M84" s="372"/>
      <c r="N84" s="333">
        <v>-257.39999999999998</v>
      </c>
      <c r="O84" s="372"/>
      <c r="P84" s="1245">
        <v>-259</v>
      </c>
      <c r="Q84" s="372"/>
      <c r="R84" s="270"/>
      <c r="S84" s="372"/>
      <c r="T84" s="377"/>
      <c r="U84" s="372"/>
      <c r="V84" s="278"/>
      <c r="W84" s="265"/>
      <c r="X84" s="278"/>
      <c r="Y84" s="265"/>
      <c r="Z84" s="278"/>
      <c r="AA84" s="278"/>
      <c r="AB84" s="278">
        <v>258.7</v>
      </c>
      <c r="AC84" s="372"/>
      <c r="AD84" s="478"/>
      <c r="AE84" s="265">
        <f>ROUND(SUM(D84:AB84),1)</f>
        <v>-1098.5</v>
      </c>
      <c r="AF84" s="253"/>
      <c r="AG84" s="256"/>
      <c r="AH84" s="265">
        <v>-1238.2</v>
      </c>
      <c r="AI84" s="520"/>
      <c r="AJ84" s="253"/>
      <c r="AK84" s="2176">
        <f>ROUND(SUM(+AE84-AH84)*-1,1)</f>
        <v>-139.69999999999999</v>
      </c>
      <c r="AL84" s="2176"/>
      <c r="AM84" s="3249">
        <f>-ROUND(IF(AH84=0,0,AK84/(AH84)),3)</f>
        <v>-0.113</v>
      </c>
    </row>
    <row r="85" spans="1:52" ht="15" customHeight="1">
      <c r="A85" s="357"/>
      <c r="B85" s="227"/>
      <c r="C85" s="227"/>
      <c r="D85" s="375"/>
      <c r="E85" s="372"/>
      <c r="F85" s="293"/>
      <c r="G85" s="372"/>
      <c r="H85" s="293"/>
      <c r="I85" s="372"/>
      <c r="J85" s="293"/>
      <c r="K85" s="372"/>
      <c r="L85" s="293"/>
      <c r="M85" s="372"/>
      <c r="N85" s="293"/>
      <c r="O85" s="372"/>
      <c r="P85" s="293"/>
      <c r="Q85" s="372"/>
      <c r="R85" s="293"/>
      <c r="S85" s="372"/>
      <c r="T85" s="293"/>
      <c r="U85" s="372"/>
      <c r="V85" s="293"/>
      <c r="W85" s="265"/>
      <c r="X85" s="293"/>
      <c r="Y85" s="265"/>
      <c r="Z85" s="293"/>
      <c r="AA85" s="253"/>
      <c r="AB85" s="293"/>
      <c r="AC85" s="372"/>
      <c r="AD85" s="478"/>
      <c r="AE85" s="293"/>
      <c r="AF85" s="253"/>
      <c r="AG85" s="256"/>
      <c r="AH85" s="293"/>
      <c r="AI85" s="520"/>
      <c r="AJ85" s="253"/>
      <c r="AK85" s="3158"/>
      <c r="AL85" s="3159"/>
      <c r="AM85" s="3271"/>
    </row>
    <row r="86" spans="1:52" ht="15" customHeight="1">
      <c r="A86" s="357"/>
      <c r="B86" s="225" t="s">
        <v>1682</v>
      </c>
      <c r="C86" s="227"/>
      <c r="D86" s="261">
        <f>ROUND(SUM(D83:D85),1)</f>
        <v>-183.7</v>
      </c>
      <c r="E86" s="414"/>
      <c r="F86" s="261">
        <f>ROUND(SUM(F83:F85),1)</f>
        <v>-178.4</v>
      </c>
      <c r="G86" s="414"/>
      <c r="H86" s="261">
        <f>ROUND(SUM(H83:H85),1)</f>
        <v>-97.9</v>
      </c>
      <c r="I86" s="414"/>
      <c r="J86" s="261">
        <f>ROUND(SUM(J83:J85),1)</f>
        <v>-101.6</v>
      </c>
      <c r="K86" s="414"/>
      <c r="L86" s="2154">
        <f>ROUND(SUM(L83:L85),1)</f>
        <v>-279.2</v>
      </c>
      <c r="M86" s="414"/>
      <c r="N86" s="261">
        <f>ROUND(SUM(N83:N85),1)</f>
        <v>-257.39999999999998</v>
      </c>
      <c r="O86" s="414"/>
      <c r="P86" s="261">
        <f>ROUND(SUM(P83:P85),1)</f>
        <v>-259</v>
      </c>
      <c r="Q86" s="414"/>
      <c r="R86" s="261">
        <f>ROUND(SUM(R83:R85),1)</f>
        <v>0</v>
      </c>
      <c r="S86" s="414"/>
      <c r="T86" s="261">
        <f>ROUND(SUM(T83:T85),1)</f>
        <v>0</v>
      </c>
      <c r="U86" s="414"/>
      <c r="V86" s="261">
        <f>ROUND(SUM(V83:V85),1)</f>
        <v>0</v>
      </c>
      <c r="W86" s="261"/>
      <c r="X86" s="261">
        <f>ROUND(SUM(X83:X85),1)</f>
        <v>0</v>
      </c>
      <c r="Y86" s="261"/>
      <c r="Z86" s="261">
        <f>ROUND(SUM(Z83:Z85),1)</f>
        <v>0</v>
      </c>
      <c r="AA86" s="2154"/>
      <c r="AB86" s="2154">
        <f>ROUND(SUM(AB83:AB85),1)</f>
        <v>258.7</v>
      </c>
      <c r="AC86" s="414"/>
      <c r="AD86" s="485"/>
      <c r="AE86" s="261">
        <f>ROUND(SUM(AE83:AE85),1)</f>
        <v>-1098.5</v>
      </c>
      <c r="AF86" s="277"/>
      <c r="AG86" s="760"/>
      <c r="AH86" s="261">
        <f>ROUND(SUM(AH83:AH84),1)</f>
        <v>-1238.2</v>
      </c>
      <c r="AI86" s="527"/>
      <c r="AJ86" s="277"/>
      <c r="AK86" s="528">
        <f>-ROUND(SUM(AE86-AH86),1)</f>
        <v>-139.69999999999999</v>
      </c>
      <c r="AL86" s="529"/>
      <c r="AM86" s="3272">
        <f>-ROUND(SUM((AE86-AH86)/AH86*-1),3)</f>
        <v>-0.113</v>
      </c>
    </row>
    <row r="87" spans="1:52" ht="15" customHeight="1">
      <c r="A87" s="357"/>
      <c r="B87" s="227"/>
      <c r="C87" s="227"/>
      <c r="D87" s="375"/>
      <c r="E87" s="372"/>
      <c r="F87" s="375"/>
      <c r="G87" s="372"/>
      <c r="H87" s="375"/>
      <c r="I87" s="372"/>
      <c r="J87" s="375"/>
      <c r="K87" s="372"/>
      <c r="L87" s="375"/>
      <c r="M87" s="372"/>
      <c r="N87" s="375"/>
      <c r="O87" s="372"/>
      <c r="P87" s="375"/>
      <c r="Q87" s="372"/>
      <c r="R87" s="375"/>
      <c r="S87" s="372"/>
      <c r="T87" s="375"/>
      <c r="U87" s="372"/>
      <c r="V87" s="293"/>
      <c r="W87" s="265"/>
      <c r="X87" s="293"/>
      <c r="Y87" s="265"/>
      <c r="Z87" s="293"/>
      <c r="AA87" s="253"/>
      <c r="AB87" s="293"/>
      <c r="AC87" s="372"/>
      <c r="AD87" s="478"/>
      <c r="AE87" s="293"/>
      <c r="AF87" s="253"/>
      <c r="AG87" s="256"/>
      <c r="AH87" s="293"/>
      <c r="AI87" s="520"/>
      <c r="AJ87" s="253"/>
      <c r="AK87" s="1372"/>
      <c r="AL87" s="3159"/>
      <c r="AM87" s="3269"/>
    </row>
    <row r="88" spans="1:52" ht="15" customHeight="1">
      <c r="A88" s="357"/>
      <c r="B88" s="225" t="s">
        <v>174</v>
      </c>
      <c r="C88" s="227"/>
      <c r="D88" s="372"/>
      <c r="E88" s="372"/>
      <c r="F88" s="372"/>
      <c r="G88" s="372"/>
      <c r="H88" s="372"/>
      <c r="I88" s="372"/>
      <c r="J88" s="372"/>
      <c r="K88" s="372"/>
      <c r="L88" s="372"/>
      <c r="M88" s="372"/>
      <c r="N88" s="372"/>
      <c r="O88" s="372"/>
      <c r="P88" s="372"/>
      <c r="Q88" s="372"/>
      <c r="R88" s="372"/>
      <c r="S88" s="372"/>
      <c r="T88" s="372"/>
      <c r="U88" s="372"/>
      <c r="V88" s="372"/>
      <c r="W88" s="372"/>
      <c r="X88" s="372"/>
      <c r="Y88" s="372"/>
      <c r="Z88" s="372"/>
      <c r="AA88" s="372"/>
      <c r="AB88" s="372"/>
      <c r="AC88" s="372"/>
      <c r="AD88" s="478"/>
      <c r="AE88" s="372"/>
      <c r="AF88" s="257"/>
      <c r="AG88" s="546"/>
      <c r="AH88" s="372"/>
      <c r="AI88" s="547"/>
      <c r="AJ88" s="233"/>
      <c r="AK88" s="3159"/>
      <c r="AL88" s="3159"/>
      <c r="AM88" s="3269"/>
    </row>
    <row r="89" spans="1:52" ht="15" customHeight="1">
      <c r="A89" s="357"/>
      <c r="B89" s="225" t="s">
        <v>175</v>
      </c>
      <c r="C89" s="227"/>
      <c r="D89" s="372"/>
      <c r="E89" s="372"/>
      <c r="F89" s="372"/>
      <c r="G89" s="372"/>
      <c r="H89" s="372"/>
      <c r="I89" s="372"/>
      <c r="J89" s="372"/>
      <c r="K89" s="372"/>
      <c r="L89" s="372"/>
      <c r="M89" s="372"/>
      <c r="N89" s="372"/>
      <c r="O89" s="372"/>
      <c r="P89" s="372"/>
      <c r="Q89" s="372"/>
      <c r="R89" s="372"/>
      <c r="S89" s="372"/>
      <c r="T89" s="372"/>
      <c r="U89" s="372"/>
      <c r="V89" s="372"/>
      <c r="W89" s="372"/>
      <c r="X89" s="372"/>
      <c r="Y89" s="372"/>
      <c r="Z89" s="372"/>
      <c r="AA89" s="372"/>
      <c r="AB89" s="372"/>
      <c r="AC89" s="372"/>
      <c r="AD89" s="478"/>
      <c r="AE89" s="372"/>
      <c r="AF89" s="257"/>
      <c r="AG89" s="546"/>
      <c r="AH89" s="429"/>
      <c r="AI89" s="547"/>
      <c r="AJ89" s="233"/>
      <c r="AK89" s="3159"/>
      <c r="AL89" s="3159"/>
      <c r="AM89" s="3269"/>
    </row>
    <row r="90" spans="1:52" ht="15" customHeight="1" thickBot="1">
      <c r="A90" s="357"/>
      <c r="B90" s="225" t="s">
        <v>1683</v>
      </c>
      <c r="C90" s="227"/>
      <c r="D90" s="508">
        <f>ROUND(SUM(D80+D86),1)</f>
        <v>-717.9</v>
      </c>
      <c r="E90" s="372"/>
      <c r="F90" s="508">
        <f>ROUND(SUM(F80+F86),1)</f>
        <v>513.70000000000005</v>
      </c>
      <c r="G90" s="372"/>
      <c r="H90" s="508">
        <f>ROUND(SUM(H80+H86),1)</f>
        <v>130.30000000000001</v>
      </c>
      <c r="I90" s="372"/>
      <c r="J90" s="508">
        <f>ROUND(SUM(J80+J86),1)</f>
        <v>19.100000000000001</v>
      </c>
      <c r="K90" s="372"/>
      <c r="L90" s="508">
        <f>ROUND(SUM(L80+L86),1)</f>
        <v>-293.2</v>
      </c>
      <c r="M90" s="265"/>
      <c r="N90" s="508">
        <f>ROUND(SUM(N80+N86),1)</f>
        <v>286.10000000000002</v>
      </c>
      <c r="O90" s="265"/>
      <c r="P90" s="508">
        <f>ROUND(SUM(P80+P86),1)</f>
        <v>41</v>
      </c>
      <c r="Q90" s="265"/>
      <c r="R90" s="508">
        <f>ROUND(SUM(R80+R86),1)</f>
        <v>0</v>
      </c>
      <c r="S90" s="265"/>
      <c r="T90" s="508">
        <f>ROUND(SUM(T80+T86),1)</f>
        <v>0</v>
      </c>
      <c r="U90" s="265"/>
      <c r="V90" s="508">
        <f>ROUND(SUM(V80+V86),1)</f>
        <v>0</v>
      </c>
      <c r="W90" s="265"/>
      <c r="X90" s="508">
        <f>ROUND(SUM(X80+X86),1)</f>
        <v>0</v>
      </c>
      <c r="Y90" s="265"/>
      <c r="Z90" s="508">
        <f>ROUND(SUM(Z80+Z86),1)</f>
        <v>0</v>
      </c>
      <c r="AA90" s="429"/>
      <c r="AB90" s="508">
        <f>ROUND(SUM(AB80+AB86),1)</f>
        <v>258.7</v>
      </c>
      <c r="AC90" s="372"/>
      <c r="AD90" s="478"/>
      <c r="AE90" s="508">
        <f>ROUND(SUM(AE80+AE86),1)</f>
        <v>237.8</v>
      </c>
      <c r="AF90" s="257"/>
      <c r="AG90" s="546"/>
      <c r="AH90" s="508">
        <f>ROUND(SUM(AH80+AH86),1)</f>
        <v>236.3</v>
      </c>
      <c r="AI90" s="547"/>
      <c r="AJ90" s="233"/>
      <c r="AK90" s="508">
        <f>ROUND(SUM(AK80-+AK86),1)</f>
        <v>1.5</v>
      </c>
      <c r="AL90" s="3159"/>
      <c r="AM90" s="3273">
        <f>ROUND(SUM((AE90-AH90)/AH90*1),3)</f>
        <v>6.0000000000000001E-3</v>
      </c>
    </row>
    <row r="91" spans="1:52" ht="15" customHeight="1" thickTop="1">
      <c r="A91" s="357"/>
      <c r="B91" s="227"/>
      <c r="C91" s="227"/>
      <c r="D91" s="233"/>
      <c r="E91" s="226"/>
      <c r="F91" s="233"/>
      <c r="G91" s="226"/>
      <c r="H91" s="233"/>
      <c r="I91" s="226"/>
      <c r="J91" s="233"/>
      <c r="K91" s="226"/>
      <c r="L91" s="233"/>
      <c r="M91" s="226"/>
      <c r="N91" s="233"/>
      <c r="O91" s="226"/>
      <c r="P91" s="233"/>
      <c r="Q91" s="226"/>
      <c r="R91" s="233"/>
      <c r="S91" s="226"/>
      <c r="T91" s="2656"/>
      <c r="U91" s="226"/>
      <c r="V91" s="233"/>
      <c r="W91" s="226"/>
      <c r="X91" s="233"/>
      <c r="Y91" s="226"/>
      <c r="Z91" s="233"/>
      <c r="AA91" s="233"/>
      <c r="AB91" s="233"/>
      <c r="AC91" s="226"/>
      <c r="AD91" s="233"/>
      <c r="AE91" s="233"/>
      <c r="AF91" s="233"/>
      <c r="AG91" s="233"/>
      <c r="AH91" s="233"/>
      <c r="AI91" s="233"/>
      <c r="AJ91" s="233"/>
      <c r="AK91" s="3160"/>
      <c r="AL91" s="3159"/>
      <c r="AM91" s="3269" t="s">
        <v>16</v>
      </c>
    </row>
    <row r="92" spans="1:52" ht="15" customHeight="1">
      <c r="B92" s="226"/>
      <c r="C92" s="226"/>
      <c r="D92" s="511"/>
      <c r="E92" s="511"/>
      <c r="F92" s="511"/>
      <c r="G92" s="511"/>
      <c r="H92" s="511"/>
      <c r="I92" s="511"/>
      <c r="J92" s="511"/>
      <c r="K92" s="511"/>
      <c r="L92" s="511"/>
      <c r="M92" s="511"/>
      <c r="N92" s="511"/>
      <c r="O92" s="511"/>
      <c r="P92" s="511"/>
      <c r="Q92" s="511"/>
      <c r="R92" s="511"/>
      <c r="S92" s="511"/>
      <c r="T92" s="511"/>
      <c r="U92" s="511"/>
      <c r="V92" s="511"/>
      <c r="W92" s="511"/>
      <c r="X92" s="511"/>
      <c r="Y92" s="511"/>
      <c r="Z92" s="511"/>
      <c r="AA92" s="511"/>
      <c r="AB92" s="511"/>
      <c r="AC92" s="511"/>
      <c r="AD92" s="511"/>
      <c r="AE92" s="511"/>
      <c r="AF92" s="511"/>
      <c r="AG92" s="511"/>
      <c r="AH92" s="511"/>
      <c r="AI92" s="511"/>
      <c r="AJ92" s="511"/>
      <c r="AK92" s="3144"/>
      <c r="AL92" s="3144"/>
      <c r="AM92" s="3240"/>
      <c r="AN92" s="553"/>
      <c r="AO92" s="553"/>
      <c r="AP92" s="553"/>
      <c r="AQ92" s="553"/>
      <c r="AR92" s="553"/>
      <c r="AS92" s="553"/>
      <c r="AT92" s="553"/>
      <c r="AU92" s="553"/>
      <c r="AV92" s="553"/>
      <c r="AW92" s="553"/>
      <c r="AX92" s="553"/>
      <c r="AY92" s="553"/>
      <c r="AZ92" s="553"/>
    </row>
    <row r="93" spans="1:52" ht="15" customHeight="1">
      <c r="B93" s="226" t="s">
        <v>193</v>
      </c>
      <c r="C93" s="226"/>
      <c r="D93" s="226"/>
      <c r="E93" s="226"/>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150"/>
      <c r="AL93" s="2150"/>
      <c r="AM93" s="3240"/>
    </row>
    <row r="94" spans="1:52" ht="15" customHeight="1">
      <c r="B94" s="226"/>
      <c r="AM94" s="3264"/>
    </row>
    <row r="95" spans="1:52" ht="15" customHeight="1">
      <c r="B95" s="226"/>
      <c r="AM95" s="3264"/>
    </row>
    <row r="96" spans="1:52" ht="15" customHeight="1">
      <c r="AM96" s="3264"/>
    </row>
    <row r="97" spans="39:39" ht="15" customHeight="1">
      <c r="AM97" s="3264"/>
    </row>
    <row r="98" spans="39:39" ht="15" customHeight="1">
      <c r="AM98" s="3264"/>
    </row>
    <row r="99" spans="39:39" ht="15" customHeight="1">
      <c r="AM99" s="3264"/>
    </row>
    <row r="100" spans="39:39" ht="15" customHeight="1">
      <c r="AM100" s="3264"/>
    </row>
    <row r="101" spans="39:39" ht="15" customHeight="1">
      <c r="AM101" s="3264"/>
    </row>
    <row r="102" spans="39:39" ht="15" customHeight="1">
      <c r="AM102" s="3264"/>
    </row>
    <row r="103" spans="39:39" ht="15" customHeight="1">
      <c r="AM103" s="3264"/>
    </row>
    <row r="104" spans="39:39" ht="15" customHeight="1">
      <c r="AM104" s="3264"/>
    </row>
    <row r="105" spans="39:39" ht="15" customHeight="1">
      <c r="AM105" s="3264"/>
    </row>
    <row r="106" spans="39:39" ht="15" customHeight="1">
      <c r="AM106" s="3264"/>
    </row>
    <row r="107" spans="39:39" ht="15" customHeight="1">
      <c r="AM107" s="3264"/>
    </row>
    <row r="108" spans="39:39" ht="15" customHeight="1">
      <c r="AM108" s="3264"/>
    </row>
    <row r="109" spans="39:39" ht="15" customHeight="1">
      <c r="AM109" s="3264"/>
    </row>
    <row r="110" spans="39:39" ht="15" customHeight="1">
      <c r="AM110" s="3264"/>
    </row>
    <row r="111" spans="39:39" ht="15" customHeight="1">
      <c r="AM111" s="3264"/>
    </row>
    <row r="112" spans="39:39" ht="15" customHeight="1">
      <c r="AM112" s="3264"/>
    </row>
    <row r="113" spans="39:39" ht="15" customHeight="1">
      <c r="AM113" s="3264"/>
    </row>
    <row r="114" spans="39:39" ht="15" customHeight="1">
      <c r="AM114" s="3264"/>
    </row>
    <row r="115" spans="39:39" ht="15" customHeight="1">
      <c r="AM115" s="3264"/>
    </row>
    <row r="116" spans="39:39" ht="15" customHeight="1">
      <c r="AM116" s="3264"/>
    </row>
    <row r="117" spans="39:39" ht="15" customHeight="1">
      <c r="AM117" s="3264"/>
    </row>
    <row r="118" spans="39:39" ht="15" customHeight="1">
      <c r="AM118" s="3264"/>
    </row>
    <row r="119" spans="39:39" ht="15" customHeight="1">
      <c r="AM119" s="3264"/>
    </row>
    <row r="120" spans="39:39" ht="15" customHeight="1">
      <c r="AM120" s="3264"/>
    </row>
    <row r="121" spans="39:39" ht="15" customHeight="1">
      <c r="AM121" s="3264"/>
    </row>
    <row r="122" spans="39:39" ht="15" customHeight="1">
      <c r="AM122" s="3264"/>
    </row>
    <row r="123" spans="39:39" ht="15" customHeight="1">
      <c r="AM123" s="3264"/>
    </row>
    <row r="124" spans="39:39" ht="15" customHeight="1">
      <c r="AM124" s="3264"/>
    </row>
    <row r="125" spans="39:39" ht="15" customHeight="1">
      <c r="AM125" s="3264"/>
    </row>
    <row r="126" spans="39:39" ht="15" customHeight="1">
      <c r="AM126" s="3264"/>
    </row>
    <row r="127" spans="39:39" ht="15" customHeight="1">
      <c r="AM127" s="3264"/>
    </row>
    <row r="128" spans="39:39" ht="15" customHeight="1">
      <c r="AM128" s="3264"/>
    </row>
    <row r="129" spans="39:39" ht="15" customHeight="1">
      <c r="AM129" s="3264"/>
    </row>
    <row r="130" spans="39:39" ht="15" customHeight="1">
      <c r="AM130" s="3264"/>
    </row>
    <row r="131" spans="39:39" ht="15" customHeight="1">
      <c r="AM131" s="3264"/>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BD09DBC2-63A5-4D9C-9B00-4281066E9389}" scale="70" showPageBreaks="1" showGridLines="0" outlineSymbols="0" printArea="1">
      <selection activeCell="V51" sqref="V51"/>
      <rowBreaks count="1" manualBreakCount="1">
        <brk id="61" min="1" max="38" man="1"/>
      </rowBreaks>
      <pageMargins left="0.25" right="0.25" top="0.5" bottom="0.25" header="0" footer="0.25"/>
      <pageSetup scale="40" firstPageNumber="26" fitToHeight="2" orientation="landscape" useFirstPageNumber="1" r:id="rId1"/>
      <headerFooter alignWithMargins="0">
        <oddFooter>&amp;C&amp;P</oddFooter>
      </headerFooter>
    </customSheetView>
    <customSheetView guid="{C82E0A7D-2B5B-48FC-A705-3168E651E04C}" scale="70" showPageBreaks="1" showGridLines="0" outlineSymbols="0" printArea="1" topLeftCell="G1">
      <selection activeCell="AG9" sqref="AG9:AK9"/>
      <rowBreaks count="1" manualBreakCount="1">
        <brk id="61" min="1" max="36" man="1"/>
      </rowBreaks>
      <pageMargins left="0.25" right="0.25" top="0.5" bottom="0.25" header="0" footer="0.25"/>
      <pageSetup scale="41" firstPageNumber="26" orientation="landscape" useFirstPageNumber="1" r:id="rId2"/>
      <headerFooter scaleWithDoc="0" alignWithMargins="0">
        <oddFooter>&amp;C&amp;8&amp;P</oddFooter>
      </headerFooter>
    </customSheetView>
    <customSheetView guid="{A8B05C3B-0E7E-44A3-A097-AF4C5C09F04E}" scale="70" showPageBreaks="1" showGridLines="0" outlineSymbols="0" printArea="1" topLeftCell="P4">
      <selection activeCell="N19" sqref="N19"/>
      <rowBreaks count="1" manualBreakCount="1">
        <brk id="61" min="1" max="36" man="1"/>
      </rowBreaks>
      <pageMargins left="0.25" right="0.25" top="0.5" bottom="0.25" header="0" footer="0.25"/>
      <pageSetup scale="41" firstPageNumber="26" orientation="landscape" useFirstPageNumber="1" r:id="rId3"/>
      <headerFooter scaleWithDoc="0" alignWithMargins="0">
        <oddFooter>&amp;C&amp;8&amp;P</oddFooter>
      </headerFooter>
    </customSheetView>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4"/>
      <headerFooter scaleWithDoc="0" alignWithMargins="0">
        <oddFooter>&amp;C&amp;8&amp;P</oddFooter>
      </headerFooter>
    </customSheetView>
    <customSheetView guid="{4735AAE3-27B4-4549-AAB4-50ACA997F5F5}" scale="70" showPageBreaks="1" showGridLines="0" outlineSymbols="0" printArea="1" topLeftCell="A56">
      <selection activeCell="B50" sqref="B50"/>
      <rowBreaks count="1" manualBreakCount="1">
        <brk id="57" min="1" max="36" man="1"/>
      </rowBreaks>
      <pageMargins left="0.35" right="0.25" top="0.5" bottom="0.25" header="0" footer="0.25"/>
      <pageSetup scale="40" firstPageNumber="26" orientation="landscape" useFirstPageNumber="1" r:id="rId5"/>
      <headerFooter scaleWithDoc="0" alignWithMargins="0">
        <oddFooter>&amp;C&amp;8&amp;P</oddFooter>
      </headerFooter>
    </customSheetView>
    <customSheetView guid="{80622567-647A-4891-B8EE-6B9E2C4DAC44}" scale="85" showPageBreaks="1" showGridLines="0" outlineSymbols="0" printArea="1">
      <pane xSplit="3" ySplit="14" topLeftCell="S75" activePane="bottomRight" state="frozen"/>
      <selection pane="bottomRight" activeCell="AM90" sqref="AM90"/>
      <rowBreaks count="1" manualBreakCount="1">
        <brk id="67" min="1" max="36" man="1"/>
      </rowBreaks>
      <pageMargins left="0.25" right="0.25" top="0.5" bottom="0.25" header="0" footer="0.25"/>
      <pageSetup scale="39" firstPageNumber="26" orientation="landscape" useFirstPageNumber="1" r:id="rId6"/>
      <headerFooter scaleWithDoc="0" alignWithMargins="0">
        <oddFooter>&amp;C&amp;8&amp;P</oddFooter>
      </headerFooter>
    </customSheetView>
    <customSheetView guid="{A97EE6C3-4DA8-41BD-BE43-F596EFCB43CA}" scale="70" showPageBreaks="1" showGridLines="0" outlineSymbols="0" printArea="1" topLeftCell="P4">
      <selection activeCell="P21" sqref="P21"/>
      <rowBreaks count="1" manualBreakCount="1">
        <brk id="67" min="1" max="36" man="1"/>
      </rowBreaks>
      <pageMargins left="0.25" right="0.25" top="0.5" bottom="0.25" header="0" footer="0.25"/>
      <pageSetup scale="41" firstPageNumber="26" orientation="landscape" useFirstPageNumber="1" r:id="rId7"/>
      <headerFooter scaleWithDoc="0" alignWithMargins="0">
        <oddFooter>&amp;C&amp;8&amp;P</oddFooter>
      </headerFooter>
    </customSheetView>
    <customSheetView guid="{90B76C5A-2FC4-40F0-8436-3E4F075A4887}" scale="80" showPageBreaks="1" showGridLines="0" outlineSymbols="0" printArea="1" topLeftCell="C1">
      <selection activeCell="P21" sqref="P21"/>
      <rowBreaks count="1" manualBreakCount="1">
        <brk id="66" max="38" man="1"/>
      </rowBreaks>
      <pageMargins left="0.25" right="0.25" top="0.5" bottom="0.25" header="0" footer="0.25"/>
      <pageSetup scale="39" firstPageNumber="26" orientation="landscape" useFirstPageNumber="1" r:id="rId8"/>
      <headerFooter scaleWithDoc="0" alignWithMargins="0">
        <oddFooter>&amp;C&amp;8&amp;P</oddFooter>
      </headerFooter>
    </customSheetView>
  </customSheetViews>
  <mergeCells count="1">
    <mergeCell ref="AG9:AK9"/>
  </mergeCells>
  <pageMargins left="0.25" right="0.25" top="0.5" bottom="0.25" header="0" footer="0.25"/>
  <pageSetup scale="40" firstPageNumber="26" fitToHeight="2" orientation="landscape" useFirstPageNumber="1" r:id="rId9"/>
  <headerFooter scaleWithDoc="0" alignWithMargins="0">
    <oddFooter>&amp;C&amp;8&amp;P</oddFooter>
  </headerFooter>
  <rowBreaks count="1" manualBreakCount="1">
    <brk id="61" min="1" max="38" man="1"/>
  </rowBreaks>
  <ignoredErrors>
    <ignoredError sqref="AM83 AM16:AM18 AM20 AM33 AM40 AM53 AM57 AM55" unlockedFormula="1"/>
  </ignoredErrors>
</worksheet>
</file>

<file path=xl/worksheets/sheet22.xml><?xml version="1.0" encoding="utf-8"?>
<worksheet xmlns="http://schemas.openxmlformats.org/spreadsheetml/2006/main" xmlns:r="http://schemas.openxmlformats.org/officeDocument/2006/relationships">
  <sheetPr codeName="Sheet20"/>
  <dimension ref="A1:AL254"/>
  <sheetViews>
    <sheetView showGridLines="0" zoomScale="70" zoomScaleNormal="70" workbookViewId="0"/>
  </sheetViews>
  <sheetFormatPr defaultRowHeight="12.75"/>
  <cols>
    <col min="1" max="1" width="40.44140625" style="563" customWidth="1"/>
    <col min="2" max="2" width="10.44140625" style="563" customWidth="1"/>
    <col min="3" max="3" width="1.33203125" style="563" customWidth="1"/>
    <col min="4" max="4" width="10" style="563" customWidth="1"/>
    <col min="5" max="5" width="1.33203125" style="563" customWidth="1"/>
    <col min="6" max="6" width="9.33203125" style="562" customWidth="1"/>
    <col min="7" max="7" width="1.33203125" style="563" customWidth="1"/>
    <col min="8" max="8" width="10" style="563" customWidth="1"/>
    <col min="9" max="9" width="1.33203125" style="563" customWidth="1"/>
    <col min="10" max="10" width="9.109375" style="563" customWidth="1"/>
    <col min="11" max="11" width="1.33203125" style="563" customWidth="1"/>
    <col min="12" max="12" width="11.33203125" style="563" customWidth="1"/>
    <col min="13" max="13" width="1.33203125" style="563" customWidth="1"/>
    <col min="14" max="14" width="9.109375" style="563" customWidth="1"/>
    <col min="15" max="15" width="1.6640625" style="563" customWidth="1"/>
    <col min="16" max="16" width="11" style="563" customWidth="1"/>
    <col min="17" max="17" width="1.33203125" style="563" customWidth="1"/>
    <col min="18" max="18" width="10.77734375" style="563" customWidth="1"/>
    <col min="19" max="19" width="1.33203125" style="563" customWidth="1"/>
    <col min="20" max="20" width="10" style="563" customWidth="1"/>
    <col min="21" max="21" width="1.33203125" style="563" customWidth="1"/>
    <col min="22" max="22" width="9.33203125" style="563" customWidth="1"/>
    <col min="23" max="23" width="1.33203125" style="563" customWidth="1"/>
    <col min="24" max="24" width="7.77734375" style="563" customWidth="1"/>
    <col min="25" max="25" width="1.33203125" style="563" customWidth="1"/>
    <col min="26" max="26" width="0.77734375" style="563" customWidth="1"/>
    <col min="27" max="27" width="10.5546875" style="563" customWidth="1"/>
    <col min="28" max="28" width="2.21875" style="563" customWidth="1"/>
    <col min="29" max="29" width="0.88671875" style="563" customWidth="1"/>
    <col min="30" max="30" width="11" style="563" bestFit="1" customWidth="1"/>
    <col min="31" max="32" width="0.6640625" style="563" customWidth="1"/>
    <col min="33" max="33" width="9.6640625" style="563" customWidth="1"/>
    <col min="34" max="34" width="1.109375" style="563" customWidth="1"/>
    <col min="35" max="35" width="11" style="563" customWidth="1"/>
    <col min="36" max="36" width="14.5546875" style="1046" customWidth="1"/>
    <col min="37" max="252" width="8.88671875" style="563"/>
    <col min="253" max="253" width="38.44140625" style="563" customWidth="1"/>
    <col min="254" max="254" width="8.5546875" style="563" customWidth="1"/>
    <col min="255" max="255" width="1.33203125" style="563" customWidth="1"/>
    <col min="256" max="256" width="8.88671875" style="563" customWidth="1"/>
    <col min="257" max="257" width="1.33203125" style="563" customWidth="1"/>
    <col min="258" max="258" width="9.33203125" style="563" customWidth="1"/>
    <col min="259" max="259" width="1.33203125" style="563" customWidth="1"/>
    <col min="260" max="260" width="10" style="563" customWidth="1"/>
    <col min="261" max="261" width="1.33203125" style="563" customWidth="1"/>
    <col min="262" max="262" width="9.109375" style="563" customWidth="1"/>
    <col min="263" max="263" width="1.33203125" style="563" customWidth="1"/>
    <col min="264" max="264" width="11.33203125" style="563" customWidth="1"/>
    <col min="265" max="265" width="1.33203125" style="563" customWidth="1"/>
    <col min="266" max="266" width="9.109375" style="563" customWidth="1"/>
    <col min="267" max="267" width="1.6640625" style="563" customWidth="1"/>
    <col min="268" max="268" width="11" style="563" customWidth="1"/>
    <col min="269" max="269" width="1.33203125" style="563" customWidth="1"/>
    <col min="270" max="270" width="10.77734375" style="563" customWidth="1"/>
    <col min="271" max="271" width="1.33203125" style="563" customWidth="1"/>
    <col min="272" max="272" width="10" style="563" customWidth="1"/>
    <col min="273" max="273" width="1.33203125" style="563" customWidth="1"/>
    <col min="274" max="274" width="9.33203125" style="563" customWidth="1"/>
    <col min="275" max="275" width="1.33203125" style="563" customWidth="1"/>
    <col min="276" max="276" width="7.77734375" style="563" customWidth="1"/>
    <col min="277" max="277" width="1.33203125" style="563" customWidth="1"/>
    <col min="278" max="278" width="0.77734375" style="563" customWidth="1"/>
    <col min="279" max="279" width="9.33203125" style="563" customWidth="1"/>
    <col min="280" max="280" width="1.33203125" style="563" customWidth="1"/>
    <col min="281" max="281" width="0.88671875" style="563" customWidth="1"/>
    <col min="282" max="282" width="9.5546875" style="563" bestFit="1" customWidth="1"/>
    <col min="283" max="284" width="0.6640625" style="563" customWidth="1"/>
    <col min="285" max="285" width="9.6640625" style="563" customWidth="1"/>
    <col min="286" max="286" width="1.109375" style="563" customWidth="1"/>
    <col min="287" max="287" width="8.5546875" style="563" customWidth="1"/>
    <col min="288" max="288" width="14.5546875" style="563" customWidth="1"/>
    <col min="289" max="289" width="10" style="563" customWidth="1"/>
    <col min="290" max="290" width="7.77734375" style="563" bestFit="1" customWidth="1"/>
    <col min="291" max="291" width="9.88671875" style="563" customWidth="1"/>
    <col min="292" max="508" width="8.88671875" style="563"/>
    <col min="509" max="509" width="38.44140625" style="563" customWidth="1"/>
    <col min="510" max="510" width="8.5546875" style="563" customWidth="1"/>
    <col min="511" max="511" width="1.33203125" style="563" customWidth="1"/>
    <col min="512" max="512" width="8.88671875" style="563" customWidth="1"/>
    <col min="513" max="513" width="1.33203125" style="563" customWidth="1"/>
    <col min="514" max="514" width="9.33203125" style="563" customWidth="1"/>
    <col min="515" max="515" width="1.33203125" style="563" customWidth="1"/>
    <col min="516" max="516" width="10" style="563" customWidth="1"/>
    <col min="517" max="517" width="1.33203125" style="563" customWidth="1"/>
    <col min="518" max="518" width="9.109375" style="563" customWidth="1"/>
    <col min="519" max="519" width="1.33203125" style="563" customWidth="1"/>
    <col min="520" max="520" width="11.33203125" style="563" customWidth="1"/>
    <col min="521" max="521" width="1.33203125" style="563" customWidth="1"/>
    <col min="522" max="522" width="9.109375" style="563" customWidth="1"/>
    <col min="523" max="523" width="1.6640625" style="563" customWidth="1"/>
    <col min="524" max="524" width="11" style="563" customWidth="1"/>
    <col min="525" max="525" width="1.33203125" style="563" customWidth="1"/>
    <col min="526" max="526" width="10.77734375" style="563" customWidth="1"/>
    <col min="527" max="527" width="1.33203125" style="563" customWidth="1"/>
    <col min="528" max="528" width="10" style="563" customWidth="1"/>
    <col min="529" max="529" width="1.33203125" style="563" customWidth="1"/>
    <col min="530" max="530" width="9.33203125" style="563" customWidth="1"/>
    <col min="531" max="531" width="1.33203125" style="563" customWidth="1"/>
    <col min="532" max="532" width="7.77734375" style="563" customWidth="1"/>
    <col min="533" max="533" width="1.33203125" style="563" customWidth="1"/>
    <col min="534" max="534" width="0.77734375" style="563" customWidth="1"/>
    <col min="535" max="535" width="9.33203125" style="563" customWidth="1"/>
    <col min="536" max="536" width="1.33203125" style="563" customWidth="1"/>
    <col min="537" max="537" width="0.88671875" style="563" customWidth="1"/>
    <col min="538" max="538" width="9.5546875" style="563" bestFit="1" customWidth="1"/>
    <col min="539" max="540" width="0.6640625" style="563" customWidth="1"/>
    <col min="541" max="541" width="9.6640625" style="563" customWidth="1"/>
    <col min="542" max="542" width="1.109375" style="563" customWidth="1"/>
    <col min="543" max="543" width="8.5546875" style="563" customWidth="1"/>
    <col min="544" max="544" width="14.5546875" style="563" customWidth="1"/>
    <col min="545" max="545" width="10" style="563" customWidth="1"/>
    <col min="546" max="546" width="7.77734375" style="563" bestFit="1" customWidth="1"/>
    <col min="547" max="547" width="9.88671875" style="563" customWidth="1"/>
    <col min="548" max="764" width="8.88671875" style="563"/>
    <col min="765" max="765" width="38.44140625" style="563" customWidth="1"/>
    <col min="766" max="766" width="8.5546875" style="563" customWidth="1"/>
    <col min="767" max="767" width="1.33203125" style="563" customWidth="1"/>
    <col min="768" max="768" width="8.88671875" style="563" customWidth="1"/>
    <col min="769" max="769" width="1.33203125" style="563" customWidth="1"/>
    <col min="770" max="770" width="9.33203125" style="563" customWidth="1"/>
    <col min="771" max="771" width="1.33203125" style="563" customWidth="1"/>
    <col min="772" max="772" width="10" style="563" customWidth="1"/>
    <col min="773" max="773" width="1.33203125" style="563" customWidth="1"/>
    <col min="774" max="774" width="9.109375" style="563" customWidth="1"/>
    <col min="775" max="775" width="1.33203125" style="563" customWidth="1"/>
    <col min="776" max="776" width="11.33203125" style="563" customWidth="1"/>
    <col min="777" max="777" width="1.33203125" style="563" customWidth="1"/>
    <col min="778" max="778" width="9.109375" style="563" customWidth="1"/>
    <col min="779" max="779" width="1.6640625" style="563" customWidth="1"/>
    <col min="780" max="780" width="11" style="563" customWidth="1"/>
    <col min="781" max="781" width="1.33203125" style="563" customWidth="1"/>
    <col min="782" max="782" width="10.77734375" style="563" customWidth="1"/>
    <col min="783" max="783" width="1.33203125" style="563" customWidth="1"/>
    <col min="784" max="784" width="10" style="563" customWidth="1"/>
    <col min="785" max="785" width="1.33203125" style="563" customWidth="1"/>
    <col min="786" max="786" width="9.33203125" style="563" customWidth="1"/>
    <col min="787" max="787" width="1.33203125" style="563" customWidth="1"/>
    <col min="788" max="788" width="7.77734375" style="563" customWidth="1"/>
    <col min="789" max="789" width="1.33203125" style="563" customWidth="1"/>
    <col min="790" max="790" width="0.77734375" style="563" customWidth="1"/>
    <col min="791" max="791" width="9.33203125" style="563" customWidth="1"/>
    <col min="792" max="792" width="1.33203125" style="563" customWidth="1"/>
    <col min="793" max="793" width="0.88671875" style="563" customWidth="1"/>
    <col min="794" max="794" width="9.5546875" style="563" bestFit="1" customWidth="1"/>
    <col min="795" max="796" width="0.6640625" style="563" customWidth="1"/>
    <col min="797" max="797" width="9.6640625" style="563" customWidth="1"/>
    <col min="798" max="798" width="1.109375" style="563" customWidth="1"/>
    <col min="799" max="799" width="8.5546875" style="563" customWidth="1"/>
    <col min="800" max="800" width="14.5546875" style="563" customWidth="1"/>
    <col min="801" max="801" width="10" style="563" customWidth="1"/>
    <col min="802" max="802" width="7.77734375" style="563" bestFit="1" customWidth="1"/>
    <col min="803" max="803" width="9.88671875" style="563" customWidth="1"/>
    <col min="804" max="1020" width="8.88671875" style="563"/>
    <col min="1021" max="1021" width="38.44140625" style="563" customWidth="1"/>
    <col min="1022" max="1022" width="8.5546875" style="563" customWidth="1"/>
    <col min="1023" max="1023" width="1.33203125" style="563" customWidth="1"/>
    <col min="1024" max="1024" width="8.88671875" style="563" customWidth="1"/>
    <col min="1025" max="1025" width="1.33203125" style="563" customWidth="1"/>
    <col min="1026" max="1026" width="9.33203125" style="563" customWidth="1"/>
    <col min="1027" max="1027" width="1.33203125" style="563" customWidth="1"/>
    <col min="1028" max="1028" width="10" style="563" customWidth="1"/>
    <col min="1029" max="1029" width="1.33203125" style="563" customWidth="1"/>
    <col min="1030" max="1030" width="9.109375" style="563" customWidth="1"/>
    <col min="1031" max="1031" width="1.33203125" style="563" customWidth="1"/>
    <col min="1032" max="1032" width="11.33203125" style="563" customWidth="1"/>
    <col min="1033" max="1033" width="1.33203125" style="563" customWidth="1"/>
    <col min="1034" max="1034" width="9.109375" style="563" customWidth="1"/>
    <col min="1035" max="1035" width="1.6640625" style="563" customWidth="1"/>
    <col min="1036" max="1036" width="11" style="563" customWidth="1"/>
    <col min="1037" max="1037" width="1.33203125" style="563" customWidth="1"/>
    <col min="1038" max="1038" width="10.77734375" style="563" customWidth="1"/>
    <col min="1039" max="1039" width="1.33203125" style="563" customWidth="1"/>
    <col min="1040" max="1040" width="10" style="563" customWidth="1"/>
    <col min="1041" max="1041" width="1.33203125" style="563" customWidth="1"/>
    <col min="1042" max="1042" width="9.33203125" style="563" customWidth="1"/>
    <col min="1043" max="1043" width="1.33203125" style="563" customWidth="1"/>
    <col min="1044" max="1044" width="7.77734375" style="563" customWidth="1"/>
    <col min="1045" max="1045" width="1.33203125" style="563" customWidth="1"/>
    <col min="1046" max="1046" width="0.77734375" style="563" customWidth="1"/>
    <col min="1047" max="1047" width="9.33203125" style="563" customWidth="1"/>
    <col min="1048" max="1048" width="1.33203125" style="563" customWidth="1"/>
    <col min="1049" max="1049" width="0.88671875" style="563" customWidth="1"/>
    <col min="1050" max="1050" width="9.5546875" style="563" bestFit="1" customWidth="1"/>
    <col min="1051" max="1052" width="0.6640625" style="563" customWidth="1"/>
    <col min="1053" max="1053" width="9.6640625" style="563" customWidth="1"/>
    <col min="1054" max="1054" width="1.109375" style="563" customWidth="1"/>
    <col min="1055" max="1055" width="8.5546875" style="563" customWidth="1"/>
    <col min="1056" max="1056" width="14.5546875" style="563" customWidth="1"/>
    <col min="1057" max="1057" width="10" style="563" customWidth="1"/>
    <col min="1058" max="1058" width="7.77734375" style="563" bestFit="1" customWidth="1"/>
    <col min="1059" max="1059" width="9.88671875" style="563" customWidth="1"/>
    <col min="1060" max="1276" width="8.88671875" style="563"/>
    <col min="1277" max="1277" width="38.44140625" style="563" customWidth="1"/>
    <col min="1278" max="1278" width="8.5546875" style="563" customWidth="1"/>
    <col min="1279" max="1279" width="1.33203125" style="563" customWidth="1"/>
    <col min="1280" max="1280" width="8.88671875" style="563" customWidth="1"/>
    <col min="1281" max="1281" width="1.33203125" style="563" customWidth="1"/>
    <col min="1282" max="1282" width="9.33203125" style="563" customWidth="1"/>
    <col min="1283" max="1283" width="1.33203125" style="563" customWidth="1"/>
    <col min="1284" max="1284" width="10" style="563" customWidth="1"/>
    <col min="1285" max="1285" width="1.33203125" style="563" customWidth="1"/>
    <col min="1286" max="1286" width="9.109375" style="563" customWidth="1"/>
    <col min="1287" max="1287" width="1.33203125" style="563" customWidth="1"/>
    <col min="1288" max="1288" width="11.33203125" style="563" customWidth="1"/>
    <col min="1289" max="1289" width="1.33203125" style="563" customWidth="1"/>
    <col min="1290" max="1290" width="9.109375" style="563" customWidth="1"/>
    <col min="1291" max="1291" width="1.6640625" style="563" customWidth="1"/>
    <col min="1292" max="1292" width="11" style="563" customWidth="1"/>
    <col min="1293" max="1293" width="1.33203125" style="563" customWidth="1"/>
    <col min="1294" max="1294" width="10.77734375" style="563" customWidth="1"/>
    <col min="1295" max="1295" width="1.33203125" style="563" customWidth="1"/>
    <col min="1296" max="1296" width="10" style="563" customWidth="1"/>
    <col min="1297" max="1297" width="1.33203125" style="563" customWidth="1"/>
    <col min="1298" max="1298" width="9.33203125" style="563" customWidth="1"/>
    <col min="1299" max="1299" width="1.33203125" style="563" customWidth="1"/>
    <col min="1300" max="1300" width="7.77734375" style="563" customWidth="1"/>
    <col min="1301" max="1301" width="1.33203125" style="563" customWidth="1"/>
    <col min="1302" max="1302" width="0.77734375" style="563" customWidth="1"/>
    <col min="1303" max="1303" width="9.33203125" style="563" customWidth="1"/>
    <col min="1304" max="1304" width="1.33203125" style="563" customWidth="1"/>
    <col min="1305" max="1305" width="0.88671875" style="563" customWidth="1"/>
    <col min="1306" max="1306" width="9.5546875" style="563" bestFit="1" customWidth="1"/>
    <col min="1307" max="1308" width="0.6640625" style="563" customWidth="1"/>
    <col min="1309" max="1309" width="9.6640625" style="563" customWidth="1"/>
    <col min="1310" max="1310" width="1.109375" style="563" customWidth="1"/>
    <col min="1311" max="1311" width="8.5546875" style="563" customWidth="1"/>
    <col min="1312" max="1312" width="14.5546875" style="563" customWidth="1"/>
    <col min="1313" max="1313" width="10" style="563" customWidth="1"/>
    <col min="1314" max="1314" width="7.77734375" style="563" bestFit="1" customWidth="1"/>
    <col min="1315" max="1315" width="9.88671875" style="563" customWidth="1"/>
    <col min="1316" max="1532" width="8.88671875" style="563"/>
    <col min="1533" max="1533" width="38.44140625" style="563" customWidth="1"/>
    <col min="1534" max="1534" width="8.5546875" style="563" customWidth="1"/>
    <col min="1535" max="1535" width="1.33203125" style="563" customWidth="1"/>
    <col min="1536" max="1536" width="8.88671875" style="563" customWidth="1"/>
    <col min="1537" max="1537" width="1.33203125" style="563" customWidth="1"/>
    <col min="1538" max="1538" width="9.33203125" style="563" customWidth="1"/>
    <col min="1539" max="1539" width="1.33203125" style="563" customWidth="1"/>
    <col min="1540" max="1540" width="10" style="563" customWidth="1"/>
    <col min="1541" max="1541" width="1.33203125" style="563" customWidth="1"/>
    <col min="1542" max="1542" width="9.109375" style="563" customWidth="1"/>
    <col min="1543" max="1543" width="1.33203125" style="563" customWidth="1"/>
    <col min="1544" max="1544" width="11.33203125" style="563" customWidth="1"/>
    <col min="1545" max="1545" width="1.33203125" style="563" customWidth="1"/>
    <col min="1546" max="1546" width="9.109375" style="563" customWidth="1"/>
    <col min="1547" max="1547" width="1.6640625" style="563" customWidth="1"/>
    <col min="1548" max="1548" width="11" style="563" customWidth="1"/>
    <col min="1549" max="1549" width="1.33203125" style="563" customWidth="1"/>
    <col min="1550" max="1550" width="10.77734375" style="563" customWidth="1"/>
    <col min="1551" max="1551" width="1.33203125" style="563" customWidth="1"/>
    <col min="1552" max="1552" width="10" style="563" customWidth="1"/>
    <col min="1553" max="1553" width="1.33203125" style="563" customWidth="1"/>
    <col min="1554" max="1554" width="9.33203125" style="563" customWidth="1"/>
    <col min="1555" max="1555" width="1.33203125" style="563" customWidth="1"/>
    <col min="1556" max="1556" width="7.77734375" style="563" customWidth="1"/>
    <col min="1557" max="1557" width="1.33203125" style="563" customWidth="1"/>
    <col min="1558" max="1558" width="0.77734375" style="563" customWidth="1"/>
    <col min="1559" max="1559" width="9.33203125" style="563" customWidth="1"/>
    <col min="1560" max="1560" width="1.33203125" style="563" customWidth="1"/>
    <col min="1561" max="1561" width="0.88671875" style="563" customWidth="1"/>
    <col min="1562" max="1562" width="9.5546875" style="563" bestFit="1" customWidth="1"/>
    <col min="1563" max="1564" width="0.6640625" style="563" customWidth="1"/>
    <col min="1565" max="1565" width="9.6640625" style="563" customWidth="1"/>
    <col min="1566" max="1566" width="1.109375" style="563" customWidth="1"/>
    <col min="1567" max="1567" width="8.5546875" style="563" customWidth="1"/>
    <col min="1568" max="1568" width="14.5546875" style="563" customWidth="1"/>
    <col min="1569" max="1569" width="10" style="563" customWidth="1"/>
    <col min="1570" max="1570" width="7.77734375" style="563" bestFit="1" customWidth="1"/>
    <col min="1571" max="1571" width="9.88671875" style="563" customWidth="1"/>
    <col min="1572" max="1788" width="8.88671875" style="563"/>
    <col min="1789" max="1789" width="38.44140625" style="563" customWidth="1"/>
    <col min="1790" max="1790" width="8.5546875" style="563" customWidth="1"/>
    <col min="1791" max="1791" width="1.33203125" style="563" customWidth="1"/>
    <col min="1792" max="1792" width="8.88671875" style="563" customWidth="1"/>
    <col min="1793" max="1793" width="1.33203125" style="563" customWidth="1"/>
    <col min="1794" max="1794" width="9.33203125" style="563" customWidth="1"/>
    <col min="1795" max="1795" width="1.33203125" style="563" customWidth="1"/>
    <col min="1796" max="1796" width="10" style="563" customWidth="1"/>
    <col min="1797" max="1797" width="1.33203125" style="563" customWidth="1"/>
    <col min="1798" max="1798" width="9.109375" style="563" customWidth="1"/>
    <col min="1799" max="1799" width="1.33203125" style="563" customWidth="1"/>
    <col min="1800" max="1800" width="11.33203125" style="563" customWidth="1"/>
    <col min="1801" max="1801" width="1.33203125" style="563" customWidth="1"/>
    <col min="1802" max="1802" width="9.109375" style="563" customWidth="1"/>
    <col min="1803" max="1803" width="1.6640625" style="563" customWidth="1"/>
    <col min="1804" max="1804" width="11" style="563" customWidth="1"/>
    <col min="1805" max="1805" width="1.33203125" style="563" customWidth="1"/>
    <col min="1806" max="1806" width="10.77734375" style="563" customWidth="1"/>
    <col min="1807" max="1807" width="1.33203125" style="563" customWidth="1"/>
    <col min="1808" max="1808" width="10" style="563" customWidth="1"/>
    <col min="1809" max="1809" width="1.33203125" style="563" customWidth="1"/>
    <col min="1810" max="1810" width="9.33203125" style="563" customWidth="1"/>
    <col min="1811" max="1811" width="1.33203125" style="563" customWidth="1"/>
    <col min="1812" max="1812" width="7.77734375" style="563" customWidth="1"/>
    <col min="1813" max="1813" width="1.33203125" style="563" customWidth="1"/>
    <col min="1814" max="1814" width="0.77734375" style="563" customWidth="1"/>
    <col min="1815" max="1815" width="9.33203125" style="563" customWidth="1"/>
    <col min="1816" max="1816" width="1.33203125" style="563" customWidth="1"/>
    <col min="1817" max="1817" width="0.88671875" style="563" customWidth="1"/>
    <col min="1818" max="1818" width="9.5546875" style="563" bestFit="1" customWidth="1"/>
    <col min="1819" max="1820" width="0.6640625" style="563" customWidth="1"/>
    <col min="1821" max="1821" width="9.6640625" style="563" customWidth="1"/>
    <col min="1822" max="1822" width="1.109375" style="563" customWidth="1"/>
    <col min="1823" max="1823" width="8.5546875" style="563" customWidth="1"/>
    <col min="1824" max="1824" width="14.5546875" style="563" customWidth="1"/>
    <col min="1825" max="1825" width="10" style="563" customWidth="1"/>
    <col min="1826" max="1826" width="7.77734375" style="563" bestFit="1" customWidth="1"/>
    <col min="1827" max="1827" width="9.88671875" style="563" customWidth="1"/>
    <col min="1828" max="2044" width="8.88671875" style="563"/>
    <col min="2045" max="2045" width="38.44140625" style="563" customWidth="1"/>
    <col min="2046" max="2046" width="8.5546875" style="563" customWidth="1"/>
    <col min="2047" max="2047" width="1.33203125" style="563" customWidth="1"/>
    <col min="2048" max="2048" width="8.88671875" style="563" customWidth="1"/>
    <col min="2049" max="2049" width="1.33203125" style="563" customWidth="1"/>
    <col min="2050" max="2050" width="9.33203125" style="563" customWidth="1"/>
    <col min="2051" max="2051" width="1.33203125" style="563" customWidth="1"/>
    <col min="2052" max="2052" width="10" style="563" customWidth="1"/>
    <col min="2053" max="2053" width="1.33203125" style="563" customWidth="1"/>
    <col min="2054" max="2054" width="9.109375" style="563" customWidth="1"/>
    <col min="2055" max="2055" width="1.33203125" style="563" customWidth="1"/>
    <col min="2056" max="2056" width="11.33203125" style="563" customWidth="1"/>
    <col min="2057" max="2057" width="1.33203125" style="563" customWidth="1"/>
    <col min="2058" max="2058" width="9.109375" style="563" customWidth="1"/>
    <col min="2059" max="2059" width="1.6640625" style="563" customWidth="1"/>
    <col min="2060" max="2060" width="11" style="563" customWidth="1"/>
    <col min="2061" max="2061" width="1.33203125" style="563" customWidth="1"/>
    <col min="2062" max="2062" width="10.77734375" style="563" customWidth="1"/>
    <col min="2063" max="2063" width="1.33203125" style="563" customWidth="1"/>
    <col min="2064" max="2064" width="10" style="563" customWidth="1"/>
    <col min="2065" max="2065" width="1.33203125" style="563" customWidth="1"/>
    <col min="2066" max="2066" width="9.33203125" style="563" customWidth="1"/>
    <col min="2067" max="2067" width="1.33203125" style="563" customWidth="1"/>
    <col min="2068" max="2068" width="7.77734375" style="563" customWidth="1"/>
    <col min="2069" max="2069" width="1.33203125" style="563" customWidth="1"/>
    <col min="2070" max="2070" width="0.77734375" style="563" customWidth="1"/>
    <col min="2071" max="2071" width="9.33203125" style="563" customWidth="1"/>
    <col min="2072" max="2072" width="1.33203125" style="563" customWidth="1"/>
    <col min="2073" max="2073" width="0.88671875" style="563" customWidth="1"/>
    <col min="2074" max="2074" width="9.5546875" style="563" bestFit="1" customWidth="1"/>
    <col min="2075" max="2076" width="0.6640625" style="563" customWidth="1"/>
    <col min="2077" max="2077" width="9.6640625" style="563" customWidth="1"/>
    <col min="2078" max="2078" width="1.109375" style="563" customWidth="1"/>
    <col min="2079" max="2079" width="8.5546875" style="563" customWidth="1"/>
    <col min="2080" max="2080" width="14.5546875" style="563" customWidth="1"/>
    <col min="2081" max="2081" width="10" style="563" customWidth="1"/>
    <col min="2082" max="2082" width="7.77734375" style="563" bestFit="1" customWidth="1"/>
    <col min="2083" max="2083" width="9.88671875" style="563" customWidth="1"/>
    <col min="2084" max="2300" width="8.88671875" style="563"/>
    <col min="2301" max="2301" width="38.44140625" style="563" customWidth="1"/>
    <col min="2302" max="2302" width="8.5546875" style="563" customWidth="1"/>
    <col min="2303" max="2303" width="1.33203125" style="563" customWidth="1"/>
    <col min="2304" max="2304" width="8.88671875" style="563" customWidth="1"/>
    <col min="2305" max="2305" width="1.33203125" style="563" customWidth="1"/>
    <col min="2306" max="2306" width="9.33203125" style="563" customWidth="1"/>
    <col min="2307" max="2307" width="1.33203125" style="563" customWidth="1"/>
    <col min="2308" max="2308" width="10" style="563" customWidth="1"/>
    <col min="2309" max="2309" width="1.33203125" style="563" customWidth="1"/>
    <col min="2310" max="2310" width="9.109375" style="563" customWidth="1"/>
    <col min="2311" max="2311" width="1.33203125" style="563" customWidth="1"/>
    <col min="2312" max="2312" width="11.33203125" style="563" customWidth="1"/>
    <col min="2313" max="2313" width="1.33203125" style="563" customWidth="1"/>
    <col min="2314" max="2314" width="9.109375" style="563" customWidth="1"/>
    <col min="2315" max="2315" width="1.6640625" style="563" customWidth="1"/>
    <col min="2316" max="2316" width="11" style="563" customWidth="1"/>
    <col min="2317" max="2317" width="1.33203125" style="563" customWidth="1"/>
    <col min="2318" max="2318" width="10.77734375" style="563" customWidth="1"/>
    <col min="2319" max="2319" width="1.33203125" style="563" customWidth="1"/>
    <col min="2320" max="2320" width="10" style="563" customWidth="1"/>
    <col min="2321" max="2321" width="1.33203125" style="563" customWidth="1"/>
    <col min="2322" max="2322" width="9.33203125" style="563" customWidth="1"/>
    <col min="2323" max="2323" width="1.33203125" style="563" customWidth="1"/>
    <col min="2324" max="2324" width="7.77734375" style="563" customWidth="1"/>
    <col min="2325" max="2325" width="1.33203125" style="563" customWidth="1"/>
    <col min="2326" max="2326" width="0.77734375" style="563" customWidth="1"/>
    <col min="2327" max="2327" width="9.33203125" style="563" customWidth="1"/>
    <col min="2328" max="2328" width="1.33203125" style="563" customWidth="1"/>
    <col min="2329" max="2329" width="0.88671875" style="563" customWidth="1"/>
    <col min="2330" max="2330" width="9.5546875" style="563" bestFit="1" customWidth="1"/>
    <col min="2331" max="2332" width="0.6640625" style="563" customWidth="1"/>
    <col min="2333" max="2333" width="9.6640625" style="563" customWidth="1"/>
    <col min="2334" max="2334" width="1.109375" style="563" customWidth="1"/>
    <col min="2335" max="2335" width="8.5546875" style="563" customWidth="1"/>
    <col min="2336" max="2336" width="14.5546875" style="563" customWidth="1"/>
    <col min="2337" max="2337" width="10" style="563" customWidth="1"/>
    <col min="2338" max="2338" width="7.77734375" style="563" bestFit="1" customWidth="1"/>
    <col min="2339" max="2339" width="9.88671875" style="563" customWidth="1"/>
    <col min="2340" max="2556" width="8.88671875" style="563"/>
    <col min="2557" max="2557" width="38.44140625" style="563" customWidth="1"/>
    <col min="2558" max="2558" width="8.5546875" style="563" customWidth="1"/>
    <col min="2559" max="2559" width="1.33203125" style="563" customWidth="1"/>
    <col min="2560" max="2560" width="8.88671875" style="563" customWidth="1"/>
    <col min="2561" max="2561" width="1.33203125" style="563" customWidth="1"/>
    <col min="2562" max="2562" width="9.33203125" style="563" customWidth="1"/>
    <col min="2563" max="2563" width="1.33203125" style="563" customWidth="1"/>
    <col min="2564" max="2564" width="10" style="563" customWidth="1"/>
    <col min="2565" max="2565" width="1.33203125" style="563" customWidth="1"/>
    <col min="2566" max="2566" width="9.109375" style="563" customWidth="1"/>
    <col min="2567" max="2567" width="1.33203125" style="563" customWidth="1"/>
    <col min="2568" max="2568" width="11.33203125" style="563" customWidth="1"/>
    <col min="2569" max="2569" width="1.33203125" style="563" customWidth="1"/>
    <col min="2570" max="2570" width="9.109375" style="563" customWidth="1"/>
    <col min="2571" max="2571" width="1.6640625" style="563" customWidth="1"/>
    <col min="2572" max="2572" width="11" style="563" customWidth="1"/>
    <col min="2573" max="2573" width="1.33203125" style="563" customWidth="1"/>
    <col min="2574" max="2574" width="10.77734375" style="563" customWidth="1"/>
    <col min="2575" max="2575" width="1.33203125" style="563" customWidth="1"/>
    <col min="2576" max="2576" width="10" style="563" customWidth="1"/>
    <col min="2577" max="2577" width="1.33203125" style="563" customWidth="1"/>
    <col min="2578" max="2578" width="9.33203125" style="563" customWidth="1"/>
    <col min="2579" max="2579" width="1.33203125" style="563" customWidth="1"/>
    <col min="2580" max="2580" width="7.77734375" style="563" customWidth="1"/>
    <col min="2581" max="2581" width="1.33203125" style="563" customWidth="1"/>
    <col min="2582" max="2582" width="0.77734375" style="563" customWidth="1"/>
    <col min="2583" max="2583" width="9.33203125" style="563" customWidth="1"/>
    <col min="2584" max="2584" width="1.33203125" style="563" customWidth="1"/>
    <col min="2585" max="2585" width="0.88671875" style="563" customWidth="1"/>
    <col min="2586" max="2586" width="9.5546875" style="563" bestFit="1" customWidth="1"/>
    <col min="2587" max="2588" width="0.6640625" style="563" customWidth="1"/>
    <col min="2589" max="2589" width="9.6640625" style="563" customWidth="1"/>
    <col min="2590" max="2590" width="1.109375" style="563" customWidth="1"/>
    <col min="2591" max="2591" width="8.5546875" style="563" customWidth="1"/>
    <col min="2592" max="2592" width="14.5546875" style="563" customWidth="1"/>
    <col min="2593" max="2593" width="10" style="563" customWidth="1"/>
    <col min="2594" max="2594" width="7.77734375" style="563" bestFit="1" customWidth="1"/>
    <col min="2595" max="2595" width="9.88671875" style="563" customWidth="1"/>
    <col min="2596" max="2812" width="8.88671875" style="563"/>
    <col min="2813" max="2813" width="38.44140625" style="563" customWidth="1"/>
    <col min="2814" max="2814" width="8.5546875" style="563" customWidth="1"/>
    <col min="2815" max="2815" width="1.33203125" style="563" customWidth="1"/>
    <col min="2816" max="2816" width="8.88671875" style="563" customWidth="1"/>
    <col min="2817" max="2817" width="1.33203125" style="563" customWidth="1"/>
    <col min="2818" max="2818" width="9.33203125" style="563" customWidth="1"/>
    <col min="2819" max="2819" width="1.33203125" style="563" customWidth="1"/>
    <col min="2820" max="2820" width="10" style="563" customWidth="1"/>
    <col min="2821" max="2821" width="1.33203125" style="563" customWidth="1"/>
    <col min="2822" max="2822" width="9.109375" style="563" customWidth="1"/>
    <col min="2823" max="2823" width="1.33203125" style="563" customWidth="1"/>
    <col min="2824" max="2824" width="11.33203125" style="563" customWidth="1"/>
    <col min="2825" max="2825" width="1.33203125" style="563" customWidth="1"/>
    <col min="2826" max="2826" width="9.109375" style="563" customWidth="1"/>
    <col min="2827" max="2827" width="1.6640625" style="563" customWidth="1"/>
    <col min="2828" max="2828" width="11" style="563" customWidth="1"/>
    <col min="2829" max="2829" width="1.33203125" style="563" customWidth="1"/>
    <col min="2830" max="2830" width="10.77734375" style="563" customWidth="1"/>
    <col min="2831" max="2831" width="1.33203125" style="563" customWidth="1"/>
    <col min="2832" max="2832" width="10" style="563" customWidth="1"/>
    <col min="2833" max="2833" width="1.33203125" style="563" customWidth="1"/>
    <col min="2834" max="2834" width="9.33203125" style="563" customWidth="1"/>
    <col min="2835" max="2835" width="1.33203125" style="563" customWidth="1"/>
    <col min="2836" max="2836" width="7.77734375" style="563" customWidth="1"/>
    <col min="2837" max="2837" width="1.33203125" style="563" customWidth="1"/>
    <col min="2838" max="2838" width="0.77734375" style="563" customWidth="1"/>
    <col min="2839" max="2839" width="9.33203125" style="563" customWidth="1"/>
    <col min="2840" max="2840" width="1.33203125" style="563" customWidth="1"/>
    <col min="2841" max="2841" width="0.88671875" style="563" customWidth="1"/>
    <col min="2842" max="2842" width="9.5546875" style="563" bestFit="1" customWidth="1"/>
    <col min="2843" max="2844" width="0.6640625" style="563" customWidth="1"/>
    <col min="2845" max="2845" width="9.6640625" style="563" customWidth="1"/>
    <col min="2846" max="2846" width="1.109375" style="563" customWidth="1"/>
    <col min="2847" max="2847" width="8.5546875" style="563" customWidth="1"/>
    <col min="2848" max="2848" width="14.5546875" style="563" customWidth="1"/>
    <col min="2849" max="2849" width="10" style="563" customWidth="1"/>
    <col min="2850" max="2850" width="7.77734375" style="563" bestFit="1" customWidth="1"/>
    <col min="2851" max="2851" width="9.88671875" style="563" customWidth="1"/>
    <col min="2852" max="3068" width="8.88671875" style="563"/>
    <col min="3069" max="3069" width="38.44140625" style="563" customWidth="1"/>
    <col min="3070" max="3070" width="8.5546875" style="563" customWidth="1"/>
    <col min="3071" max="3071" width="1.33203125" style="563" customWidth="1"/>
    <col min="3072" max="3072" width="8.88671875" style="563" customWidth="1"/>
    <col min="3073" max="3073" width="1.33203125" style="563" customWidth="1"/>
    <col min="3074" max="3074" width="9.33203125" style="563" customWidth="1"/>
    <col min="3075" max="3075" width="1.33203125" style="563" customWidth="1"/>
    <col min="3076" max="3076" width="10" style="563" customWidth="1"/>
    <col min="3077" max="3077" width="1.33203125" style="563" customWidth="1"/>
    <col min="3078" max="3078" width="9.109375" style="563" customWidth="1"/>
    <col min="3079" max="3079" width="1.33203125" style="563" customWidth="1"/>
    <col min="3080" max="3080" width="11.33203125" style="563" customWidth="1"/>
    <col min="3081" max="3081" width="1.33203125" style="563" customWidth="1"/>
    <col min="3082" max="3082" width="9.109375" style="563" customWidth="1"/>
    <col min="3083" max="3083" width="1.6640625" style="563" customWidth="1"/>
    <col min="3084" max="3084" width="11" style="563" customWidth="1"/>
    <col min="3085" max="3085" width="1.33203125" style="563" customWidth="1"/>
    <col min="3086" max="3086" width="10.77734375" style="563" customWidth="1"/>
    <col min="3087" max="3087" width="1.33203125" style="563" customWidth="1"/>
    <col min="3088" max="3088" width="10" style="563" customWidth="1"/>
    <col min="3089" max="3089" width="1.33203125" style="563" customWidth="1"/>
    <col min="3090" max="3090" width="9.33203125" style="563" customWidth="1"/>
    <col min="3091" max="3091" width="1.33203125" style="563" customWidth="1"/>
    <col min="3092" max="3092" width="7.77734375" style="563" customWidth="1"/>
    <col min="3093" max="3093" width="1.33203125" style="563" customWidth="1"/>
    <col min="3094" max="3094" width="0.77734375" style="563" customWidth="1"/>
    <col min="3095" max="3095" width="9.33203125" style="563" customWidth="1"/>
    <col min="3096" max="3096" width="1.33203125" style="563" customWidth="1"/>
    <col min="3097" max="3097" width="0.88671875" style="563" customWidth="1"/>
    <col min="3098" max="3098" width="9.5546875" style="563" bestFit="1" customWidth="1"/>
    <col min="3099" max="3100" width="0.6640625" style="563" customWidth="1"/>
    <col min="3101" max="3101" width="9.6640625" style="563" customWidth="1"/>
    <col min="3102" max="3102" width="1.109375" style="563" customWidth="1"/>
    <col min="3103" max="3103" width="8.5546875" style="563" customWidth="1"/>
    <col min="3104" max="3104" width="14.5546875" style="563" customWidth="1"/>
    <col min="3105" max="3105" width="10" style="563" customWidth="1"/>
    <col min="3106" max="3106" width="7.77734375" style="563" bestFit="1" customWidth="1"/>
    <col min="3107" max="3107" width="9.88671875" style="563" customWidth="1"/>
    <col min="3108" max="3324" width="8.88671875" style="563"/>
    <col min="3325" max="3325" width="38.44140625" style="563" customWidth="1"/>
    <col min="3326" max="3326" width="8.5546875" style="563" customWidth="1"/>
    <col min="3327" max="3327" width="1.33203125" style="563" customWidth="1"/>
    <col min="3328" max="3328" width="8.88671875" style="563" customWidth="1"/>
    <col min="3329" max="3329" width="1.33203125" style="563" customWidth="1"/>
    <col min="3330" max="3330" width="9.33203125" style="563" customWidth="1"/>
    <col min="3331" max="3331" width="1.33203125" style="563" customWidth="1"/>
    <col min="3332" max="3332" width="10" style="563" customWidth="1"/>
    <col min="3333" max="3333" width="1.33203125" style="563" customWidth="1"/>
    <col min="3334" max="3334" width="9.109375" style="563" customWidth="1"/>
    <col min="3335" max="3335" width="1.33203125" style="563" customWidth="1"/>
    <col min="3336" max="3336" width="11.33203125" style="563" customWidth="1"/>
    <col min="3337" max="3337" width="1.33203125" style="563" customWidth="1"/>
    <col min="3338" max="3338" width="9.109375" style="563" customWidth="1"/>
    <col min="3339" max="3339" width="1.6640625" style="563" customWidth="1"/>
    <col min="3340" max="3340" width="11" style="563" customWidth="1"/>
    <col min="3341" max="3341" width="1.33203125" style="563" customWidth="1"/>
    <col min="3342" max="3342" width="10.77734375" style="563" customWidth="1"/>
    <col min="3343" max="3343" width="1.33203125" style="563" customWidth="1"/>
    <col min="3344" max="3344" width="10" style="563" customWidth="1"/>
    <col min="3345" max="3345" width="1.33203125" style="563" customWidth="1"/>
    <col min="3346" max="3346" width="9.33203125" style="563" customWidth="1"/>
    <col min="3347" max="3347" width="1.33203125" style="563" customWidth="1"/>
    <col min="3348" max="3348" width="7.77734375" style="563" customWidth="1"/>
    <col min="3349" max="3349" width="1.33203125" style="563" customWidth="1"/>
    <col min="3350" max="3350" width="0.77734375" style="563" customWidth="1"/>
    <col min="3351" max="3351" width="9.33203125" style="563" customWidth="1"/>
    <col min="3352" max="3352" width="1.33203125" style="563" customWidth="1"/>
    <col min="3353" max="3353" width="0.88671875" style="563" customWidth="1"/>
    <col min="3354" max="3354" width="9.5546875" style="563" bestFit="1" customWidth="1"/>
    <col min="3355" max="3356" width="0.6640625" style="563" customWidth="1"/>
    <col min="3357" max="3357" width="9.6640625" style="563" customWidth="1"/>
    <col min="3358" max="3358" width="1.109375" style="563" customWidth="1"/>
    <col min="3359" max="3359" width="8.5546875" style="563" customWidth="1"/>
    <col min="3360" max="3360" width="14.5546875" style="563" customWidth="1"/>
    <col min="3361" max="3361" width="10" style="563" customWidth="1"/>
    <col min="3362" max="3362" width="7.77734375" style="563" bestFit="1" customWidth="1"/>
    <col min="3363" max="3363" width="9.88671875" style="563" customWidth="1"/>
    <col min="3364" max="3580" width="8.88671875" style="563"/>
    <col min="3581" max="3581" width="38.44140625" style="563" customWidth="1"/>
    <col min="3582" max="3582" width="8.5546875" style="563" customWidth="1"/>
    <col min="3583" max="3583" width="1.33203125" style="563" customWidth="1"/>
    <col min="3584" max="3584" width="8.88671875" style="563" customWidth="1"/>
    <col min="3585" max="3585" width="1.33203125" style="563" customWidth="1"/>
    <col min="3586" max="3586" width="9.33203125" style="563" customWidth="1"/>
    <col min="3587" max="3587" width="1.33203125" style="563" customWidth="1"/>
    <col min="3588" max="3588" width="10" style="563" customWidth="1"/>
    <col min="3589" max="3589" width="1.33203125" style="563" customWidth="1"/>
    <col min="3590" max="3590" width="9.109375" style="563" customWidth="1"/>
    <col min="3591" max="3591" width="1.33203125" style="563" customWidth="1"/>
    <col min="3592" max="3592" width="11.33203125" style="563" customWidth="1"/>
    <col min="3593" max="3593" width="1.33203125" style="563" customWidth="1"/>
    <col min="3594" max="3594" width="9.109375" style="563" customWidth="1"/>
    <col min="3595" max="3595" width="1.6640625" style="563" customWidth="1"/>
    <col min="3596" max="3596" width="11" style="563" customWidth="1"/>
    <col min="3597" max="3597" width="1.33203125" style="563" customWidth="1"/>
    <col min="3598" max="3598" width="10.77734375" style="563" customWidth="1"/>
    <col min="3599" max="3599" width="1.33203125" style="563" customWidth="1"/>
    <col min="3600" max="3600" width="10" style="563" customWidth="1"/>
    <col min="3601" max="3601" width="1.33203125" style="563" customWidth="1"/>
    <col min="3602" max="3602" width="9.33203125" style="563" customWidth="1"/>
    <col min="3603" max="3603" width="1.33203125" style="563" customWidth="1"/>
    <col min="3604" max="3604" width="7.77734375" style="563" customWidth="1"/>
    <col min="3605" max="3605" width="1.33203125" style="563" customWidth="1"/>
    <col min="3606" max="3606" width="0.77734375" style="563" customWidth="1"/>
    <col min="3607" max="3607" width="9.33203125" style="563" customWidth="1"/>
    <col min="3608" max="3608" width="1.33203125" style="563" customWidth="1"/>
    <col min="3609" max="3609" width="0.88671875" style="563" customWidth="1"/>
    <col min="3610" max="3610" width="9.5546875" style="563" bestFit="1" customWidth="1"/>
    <col min="3611" max="3612" width="0.6640625" style="563" customWidth="1"/>
    <col min="3613" max="3613" width="9.6640625" style="563" customWidth="1"/>
    <col min="3614" max="3614" width="1.109375" style="563" customWidth="1"/>
    <col min="3615" max="3615" width="8.5546875" style="563" customWidth="1"/>
    <col min="3616" max="3616" width="14.5546875" style="563" customWidth="1"/>
    <col min="3617" max="3617" width="10" style="563" customWidth="1"/>
    <col min="3618" max="3618" width="7.77734375" style="563" bestFit="1" customWidth="1"/>
    <col min="3619" max="3619" width="9.88671875" style="563" customWidth="1"/>
    <col min="3620" max="3836" width="8.88671875" style="563"/>
    <col min="3837" max="3837" width="38.44140625" style="563" customWidth="1"/>
    <col min="3838" max="3838" width="8.5546875" style="563" customWidth="1"/>
    <col min="3839" max="3839" width="1.33203125" style="563" customWidth="1"/>
    <col min="3840" max="3840" width="8.88671875" style="563" customWidth="1"/>
    <col min="3841" max="3841" width="1.33203125" style="563" customWidth="1"/>
    <col min="3842" max="3842" width="9.33203125" style="563" customWidth="1"/>
    <col min="3843" max="3843" width="1.33203125" style="563" customWidth="1"/>
    <col min="3844" max="3844" width="10" style="563" customWidth="1"/>
    <col min="3845" max="3845" width="1.33203125" style="563" customWidth="1"/>
    <col min="3846" max="3846" width="9.109375" style="563" customWidth="1"/>
    <col min="3847" max="3847" width="1.33203125" style="563" customWidth="1"/>
    <col min="3848" max="3848" width="11.33203125" style="563" customWidth="1"/>
    <col min="3849" max="3849" width="1.33203125" style="563" customWidth="1"/>
    <col min="3850" max="3850" width="9.109375" style="563" customWidth="1"/>
    <col min="3851" max="3851" width="1.6640625" style="563" customWidth="1"/>
    <col min="3852" max="3852" width="11" style="563" customWidth="1"/>
    <col min="3853" max="3853" width="1.33203125" style="563" customWidth="1"/>
    <col min="3854" max="3854" width="10.77734375" style="563" customWidth="1"/>
    <col min="3855" max="3855" width="1.33203125" style="563" customWidth="1"/>
    <col min="3856" max="3856" width="10" style="563" customWidth="1"/>
    <col min="3857" max="3857" width="1.33203125" style="563" customWidth="1"/>
    <col min="3858" max="3858" width="9.33203125" style="563" customWidth="1"/>
    <col min="3859" max="3859" width="1.33203125" style="563" customWidth="1"/>
    <col min="3860" max="3860" width="7.77734375" style="563" customWidth="1"/>
    <col min="3861" max="3861" width="1.33203125" style="563" customWidth="1"/>
    <col min="3862" max="3862" width="0.77734375" style="563" customWidth="1"/>
    <col min="3863" max="3863" width="9.33203125" style="563" customWidth="1"/>
    <col min="3864" max="3864" width="1.33203125" style="563" customWidth="1"/>
    <col min="3865" max="3865" width="0.88671875" style="563" customWidth="1"/>
    <col min="3866" max="3866" width="9.5546875" style="563" bestFit="1" customWidth="1"/>
    <col min="3867" max="3868" width="0.6640625" style="563" customWidth="1"/>
    <col min="3869" max="3869" width="9.6640625" style="563" customWidth="1"/>
    <col min="3870" max="3870" width="1.109375" style="563" customWidth="1"/>
    <col min="3871" max="3871" width="8.5546875" style="563" customWidth="1"/>
    <col min="3872" max="3872" width="14.5546875" style="563" customWidth="1"/>
    <col min="3873" max="3873" width="10" style="563" customWidth="1"/>
    <col min="3874" max="3874" width="7.77734375" style="563" bestFit="1" customWidth="1"/>
    <col min="3875" max="3875" width="9.88671875" style="563" customWidth="1"/>
    <col min="3876" max="4092" width="8.88671875" style="563"/>
    <col min="4093" max="4093" width="38.44140625" style="563" customWidth="1"/>
    <col min="4094" max="4094" width="8.5546875" style="563" customWidth="1"/>
    <col min="4095" max="4095" width="1.33203125" style="563" customWidth="1"/>
    <col min="4096" max="4096" width="8.88671875" style="563" customWidth="1"/>
    <col min="4097" max="4097" width="1.33203125" style="563" customWidth="1"/>
    <col min="4098" max="4098" width="9.33203125" style="563" customWidth="1"/>
    <col min="4099" max="4099" width="1.33203125" style="563" customWidth="1"/>
    <col min="4100" max="4100" width="10" style="563" customWidth="1"/>
    <col min="4101" max="4101" width="1.33203125" style="563" customWidth="1"/>
    <col min="4102" max="4102" width="9.109375" style="563" customWidth="1"/>
    <col min="4103" max="4103" width="1.33203125" style="563" customWidth="1"/>
    <col min="4104" max="4104" width="11.33203125" style="563" customWidth="1"/>
    <col min="4105" max="4105" width="1.33203125" style="563" customWidth="1"/>
    <col min="4106" max="4106" width="9.109375" style="563" customWidth="1"/>
    <col min="4107" max="4107" width="1.6640625" style="563" customWidth="1"/>
    <col min="4108" max="4108" width="11" style="563" customWidth="1"/>
    <col min="4109" max="4109" width="1.33203125" style="563" customWidth="1"/>
    <col min="4110" max="4110" width="10.77734375" style="563" customWidth="1"/>
    <col min="4111" max="4111" width="1.33203125" style="563" customWidth="1"/>
    <col min="4112" max="4112" width="10" style="563" customWidth="1"/>
    <col min="4113" max="4113" width="1.33203125" style="563" customWidth="1"/>
    <col min="4114" max="4114" width="9.33203125" style="563" customWidth="1"/>
    <col min="4115" max="4115" width="1.33203125" style="563" customWidth="1"/>
    <col min="4116" max="4116" width="7.77734375" style="563" customWidth="1"/>
    <col min="4117" max="4117" width="1.33203125" style="563" customWidth="1"/>
    <col min="4118" max="4118" width="0.77734375" style="563" customWidth="1"/>
    <col min="4119" max="4119" width="9.33203125" style="563" customWidth="1"/>
    <col min="4120" max="4120" width="1.33203125" style="563" customWidth="1"/>
    <col min="4121" max="4121" width="0.88671875" style="563" customWidth="1"/>
    <col min="4122" max="4122" width="9.5546875" style="563" bestFit="1" customWidth="1"/>
    <col min="4123" max="4124" width="0.6640625" style="563" customWidth="1"/>
    <col min="4125" max="4125" width="9.6640625" style="563" customWidth="1"/>
    <col min="4126" max="4126" width="1.109375" style="563" customWidth="1"/>
    <col min="4127" max="4127" width="8.5546875" style="563" customWidth="1"/>
    <col min="4128" max="4128" width="14.5546875" style="563" customWidth="1"/>
    <col min="4129" max="4129" width="10" style="563" customWidth="1"/>
    <col min="4130" max="4130" width="7.77734375" style="563" bestFit="1" customWidth="1"/>
    <col min="4131" max="4131" width="9.88671875" style="563" customWidth="1"/>
    <col min="4132" max="4348" width="8.88671875" style="563"/>
    <col min="4349" max="4349" width="38.44140625" style="563" customWidth="1"/>
    <col min="4350" max="4350" width="8.5546875" style="563" customWidth="1"/>
    <col min="4351" max="4351" width="1.33203125" style="563" customWidth="1"/>
    <col min="4352" max="4352" width="8.88671875" style="563" customWidth="1"/>
    <col min="4353" max="4353" width="1.33203125" style="563" customWidth="1"/>
    <col min="4354" max="4354" width="9.33203125" style="563" customWidth="1"/>
    <col min="4355" max="4355" width="1.33203125" style="563" customWidth="1"/>
    <col min="4356" max="4356" width="10" style="563" customWidth="1"/>
    <col min="4357" max="4357" width="1.33203125" style="563" customWidth="1"/>
    <col min="4358" max="4358" width="9.109375" style="563" customWidth="1"/>
    <col min="4359" max="4359" width="1.33203125" style="563" customWidth="1"/>
    <col min="4360" max="4360" width="11.33203125" style="563" customWidth="1"/>
    <col min="4361" max="4361" width="1.33203125" style="563" customWidth="1"/>
    <col min="4362" max="4362" width="9.109375" style="563" customWidth="1"/>
    <col min="4363" max="4363" width="1.6640625" style="563" customWidth="1"/>
    <col min="4364" max="4364" width="11" style="563" customWidth="1"/>
    <col min="4365" max="4365" width="1.33203125" style="563" customWidth="1"/>
    <col min="4366" max="4366" width="10.77734375" style="563" customWidth="1"/>
    <col min="4367" max="4367" width="1.33203125" style="563" customWidth="1"/>
    <col min="4368" max="4368" width="10" style="563" customWidth="1"/>
    <col min="4369" max="4369" width="1.33203125" style="563" customWidth="1"/>
    <col min="4370" max="4370" width="9.33203125" style="563" customWidth="1"/>
    <col min="4371" max="4371" width="1.33203125" style="563" customWidth="1"/>
    <col min="4372" max="4372" width="7.77734375" style="563" customWidth="1"/>
    <col min="4373" max="4373" width="1.33203125" style="563" customWidth="1"/>
    <col min="4374" max="4374" width="0.77734375" style="563" customWidth="1"/>
    <col min="4375" max="4375" width="9.33203125" style="563" customWidth="1"/>
    <col min="4376" max="4376" width="1.33203125" style="563" customWidth="1"/>
    <col min="4377" max="4377" width="0.88671875" style="563" customWidth="1"/>
    <col min="4378" max="4378" width="9.5546875" style="563" bestFit="1" customWidth="1"/>
    <col min="4379" max="4380" width="0.6640625" style="563" customWidth="1"/>
    <col min="4381" max="4381" width="9.6640625" style="563" customWidth="1"/>
    <col min="4382" max="4382" width="1.109375" style="563" customWidth="1"/>
    <col min="4383" max="4383" width="8.5546875" style="563" customWidth="1"/>
    <col min="4384" max="4384" width="14.5546875" style="563" customWidth="1"/>
    <col min="4385" max="4385" width="10" style="563" customWidth="1"/>
    <col min="4386" max="4386" width="7.77734375" style="563" bestFit="1" customWidth="1"/>
    <col min="4387" max="4387" width="9.88671875" style="563" customWidth="1"/>
    <col min="4388" max="4604" width="8.88671875" style="563"/>
    <col min="4605" max="4605" width="38.44140625" style="563" customWidth="1"/>
    <col min="4606" max="4606" width="8.5546875" style="563" customWidth="1"/>
    <col min="4607" max="4607" width="1.33203125" style="563" customWidth="1"/>
    <col min="4608" max="4608" width="8.88671875" style="563" customWidth="1"/>
    <col min="4609" max="4609" width="1.33203125" style="563" customWidth="1"/>
    <col min="4610" max="4610" width="9.33203125" style="563" customWidth="1"/>
    <col min="4611" max="4611" width="1.33203125" style="563" customWidth="1"/>
    <col min="4612" max="4612" width="10" style="563" customWidth="1"/>
    <col min="4613" max="4613" width="1.33203125" style="563" customWidth="1"/>
    <col min="4614" max="4614" width="9.109375" style="563" customWidth="1"/>
    <col min="4615" max="4615" width="1.33203125" style="563" customWidth="1"/>
    <col min="4616" max="4616" width="11.33203125" style="563" customWidth="1"/>
    <col min="4617" max="4617" width="1.33203125" style="563" customWidth="1"/>
    <col min="4618" max="4618" width="9.109375" style="563" customWidth="1"/>
    <col min="4619" max="4619" width="1.6640625" style="563" customWidth="1"/>
    <col min="4620" max="4620" width="11" style="563" customWidth="1"/>
    <col min="4621" max="4621" width="1.33203125" style="563" customWidth="1"/>
    <col min="4622" max="4622" width="10.77734375" style="563" customWidth="1"/>
    <col min="4623" max="4623" width="1.33203125" style="563" customWidth="1"/>
    <col min="4624" max="4624" width="10" style="563" customWidth="1"/>
    <col min="4625" max="4625" width="1.33203125" style="563" customWidth="1"/>
    <col min="4626" max="4626" width="9.33203125" style="563" customWidth="1"/>
    <col min="4627" max="4627" width="1.33203125" style="563" customWidth="1"/>
    <col min="4628" max="4628" width="7.77734375" style="563" customWidth="1"/>
    <col min="4629" max="4629" width="1.33203125" style="563" customWidth="1"/>
    <col min="4630" max="4630" width="0.77734375" style="563" customWidth="1"/>
    <col min="4631" max="4631" width="9.33203125" style="563" customWidth="1"/>
    <col min="4632" max="4632" width="1.33203125" style="563" customWidth="1"/>
    <col min="4633" max="4633" width="0.88671875" style="563" customWidth="1"/>
    <col min="4634" max="4634" width="9.5546875" style="563" bestFit="1" customWidth="1"/>
    <col min="4635" max="4636" width="0.6640625" style="563" customWidth="1"/>
    <col min="4637" max="4637" width="9.6640625" style="563" customWidth="1"/>
    <col min="4638" max="4638" width="1.109375" style="563" customWidth="1"/>
    <col min="4639" max="4639" width="8.5546875" style="563" customWidth="1"/>
    <col min="4640" max="4640" width="14.5546875" style="563" customWidth="1"/>
    <col min="4641" max="4641" width="10" style="563" customWidth="1"/>
    <col min="4642" max="4642" width="7.77734375" style="563" bestFit="1" customWidth="1"/>
    <col min="4643" max="4643" width="9.88671875" style="563" customWidth="1"/>
    <col min="4644" max="4860" width="8.88671875" style="563"/>
    <col min="4861" max="4861" width="38.44140625" style="563" customWidth="1"/>
    <col min="4862" max="4862" width="8.5546875" style="563" customWidth="1"/>
    <col min="4863" max="4863" width="1.33203125" style="563" customWidth="1"/>
    <col min="4864" max="4864" width="8.88671875" style="563" customWidth="1"/>
    <col min="4865" max="4865" width="1.33203125" style="563" customWidth="1"/>
    <col min="4866" max="4866" width="9.33203125" style="563" customWidth="1"/>
    <col min="4867" max="4867" width="1.33203125" style="563" customWidth="1"/>
    <col min="4868" max="4868" width="10" style="563" customWidth="1"/>
    <col min="4869" max="4869" width="1.33203125" style="563" customWidth="1"/>
    <col min="4870" max="4870" width="9.109375" style="563" customWidth="1"/>
    <col min="4871" max="4871" width="1.33203125" style="563" customWidth="1"/>
    <col min="4872" max="4872" width="11.33203125" style="563" customWidth="1"/>
    <col min="4873" max="4873" width="1.33203125" style="563" customWidth="1"/>
    <col min="4874" max="4874" width="9.109375" style="563" customWidth="1"/>
    <col min="4875" max="4875" width="1.6640625" style="563" customWidth="1"/>
    <col min="4876" max="4876" width="11" style="563" customWidth="1"/>
    <col min="4877" max="4877" width="1.33203125" style="563" customWidth="1"/>
    <col min="4878" max="4878" width="10.77734375" style="563" customWidth="1"/>
    <col min="4879" max="4879" width="1.33203125" style="563" customWidth="1"/>
    <col min="4880" max="4880" width="10" style="563" customWidth="1"/>
    <col min="4881" max="4881" width="1.33203125" style="563" customWidth="1"/>
    <col min="4882" max="4882" width="9.33203125" style="563" customWidth="1"/>
    <col min="4883" max="4883" width="1.33203125" style="563" customWidth="1"/>
    <col min="4884" max="4884" width="7.77734375" style="563" customWidth="1"/>
    <col min="4885" max="4885" width="1.33203125" style="563" customWidth="1"/>
    <col min="4886" max="4886" width="0.77734375" style="563" customWidth="1"/>
    <col min="4887" max="4887" width="9.33203125" style="563" customWidth="1"/>
    <col min="4888" max="4888" width="1.33203125" style="563" customWidth="1"/>
    <col min="4889" max="4889" width="0.88671875" style="563" customWidth="1"/>
    <col min="4890" max="4890" width="9.5546875" style="563" bestFit="1" customWidth="1"/>
    <col min="4891" max="4892" width="0.6640625" style="563" customWidth="1"/>
    <col min="4893" max="4893" width="9.6640625" style="563" customWidth="1"/>
    <col min="4894" max="4894" width="1.109375" style="563" customWidth="1"/>
    <col min="4895" max="4895" width="8.5546875" style="563" customWidth="1"/>
    <col min="4896" max="4896" width="14.5546875" style="563" customWidth="1"/>
    <col min="4897" max="4897" width="10" style="563" customWidth="1"/>
    <col min="4898" max="4898" width="7.77734375" style="563" bestFit="1" customWidth="1"/>
    <col min="4899" max="4899" width="9.88671875" style="563" customWidth="1"/>
    <col min="4900" max="5116" width="8.88671875" style="563"/>
    <col min="5117" max="5117" width="38.44140625" style="563" customWidth="1"/>
    <col min="5118" max="5118" width="8.5546875" style="563" customWidth="1"/>
    <col min="5119" max="5119" width="1.33203125" style="563" customWidth="1"/>
    <col min="5120" max="5120" width="8.88671875" style="563" customWidth="1"/>
    <col min="5121" max="5121" width="1.33203125" style="563" customWidth="1"/>
    <col min="5122" max="5122" width="9.33203125" style="563" customWidth="1"/>
    <col min="5123" max="5123" width="1.33203125" style="563" customWidth="1"/>
    <col min="5124" max="5124" width="10" style="563" customWidth="1"/>
    <col min="5125" max="5125" width="1.33203125" style="563" customWidth="1"/>
    <col min="5126" max="5126" width="9.109375" style="563" customWidth="1"/>
    <col min="5127" max="5127" width="1.33203125" style="563" customWidth="1"/>
    <col min="5128" max="5128" width="11.33203125" style="563" customWidth="1"/>
    <col min="5129" max="5129" width="1.33203125" style="563" customWidth="1"/>
    <col min="5130" max="5130" width="9.109375" style="563" customWidth="1"/>
    <col min="5131" max="5131" width="1.6640625" style="563" customWidth="1"/>
    <col min="5132" max="5132" width="11" style="563" customWidth="1"/>
    <col min="5133" max="5133" width="1.33203125" style="563" customWidth="1"/>
    <col min="5134" max="5134" width="10.77734375" style="563" customWidth="1"/>
    <col min="5135" max="5135" width="1.33203125" style="563" customWidth="1"/>
    <col min="5136" max="5136" width="10" style="563" customWidth="1"/>
    <col min="5137" max="5137" width="1.33203125" style="563" customWidth="1"/>
    <col min="5138" max="5138" width="9.33203125" style="563" customWidth="1"/>
    <col min="5139" max="5139" width="1.33203125" style="563" customWidth="1"/>
    <col min="5140" max="5140" width="7.77734375" style="563" customWidth="1"/>
    <col min="5141" max="5141" width="1.33203125" style="563" customWidth="1"/>
    <col min="5142" max="5142" width="0.77734375" style="563" customWidth="1"/>
    <col min="5143" max="5143" width="9.33203125" style="563" customWidth="1"/>
    <col min="5144" max="5144" width="1.33203125" style="563" customWidth="1"/>
    <col min="5145" max="5145" width="0.88671875" style="563" customWidth="1"/>
    <col min="5146" max="5146" width="9.5546875" style="563" bestFit="1" customWidth="1"/>
    <col min="5147" max="5148" width="0.6640625" style="563" customWidth="1"/>
    <col min="5149" max="5149" width="9.6640625" style="563" customWidth="1"/>
    <col min="5150" max="5150" width="1.109375" style="563" customWidth="1"/>
    <col min="5151" max="5151" width="8.5546875" style="563" customWidth="1"/>
    <col min="5152" max="5152" width="14.5546875" style="563" customWidth="1"/>
    <col min="5153" max="5153" width="10" style="563" customWidth="1"/>
    <col min="5154" max="5154" width="7.77734375" style="563" bestFit="1" customWidth="1"/>
    <col min="5155" max="5155" width="9.88671875" style="563" customWidth="1"/>
    <col min="5156" max="5372" width="8.88671875" style="563"/>
    <col min="5373" max="5373" width="38.44140625" style="563" customWidth="1"/>
    <col min="5374" max="5374" width="8.5546875" style="563" customWidth="1"/>
    <col min="5375" max="5375" width="1.33203125" style="563" customWidth="1"/>
    <col min="5376" max="5376" width="8.88671875" style="563" customWidth="1"/>
    <col min="5377" max="5377" width="1.33203125" style="563" customWidth="1"/>
    <col min="5378" max="5378" width="9.33203125" style="563" customWidth="1"/>
    <col min="5379" max="5379" width="1.33203125" style="563" customWidth="1"/>
    <col min="5380" max="5380" width="10" style="563" customWidth="1"/>
    <col min="5381" max="5381" width="1.33203125" style="563" customWidth="1"/>
    <col min="5382" max="5382" width="9.109375" style="563" customWidth="1"/>
    <col min="5383" max="5383" width="1.33203125" style="563" customWidth="1"/>
    <col min="5384" max="5384" width="11.33203125" style="563" customWidth="1"/>
    <col min="5385" max="5385" width="1.33203125" style="563" customWidth="1"/>
    <col min="5386" max="5386" width="9.109375" style="563" customWidth="1"/>
    <col min="5387" max="5387" width="1.6640625" style="563" customWidth="1"/>
    <col min="5388" max="5388" width="11" style="563" customWidth="1"/>
    <col min="5389" max="5389" width="1.33203125" style="563" customWidth="1"/>
    <col min="5390" max="5390" width="10.77734375" style="563" customWidth="1"/>
    <col min="5391" max="5391" width="1.33203125" style="563" customWidth="1"/>
    <col min="5392" max="5392" width="10" style="563" customWidth="1"/>
    <col min="5393" max="5393" width="1.33203125" style="563" customWidth="1"/>
    <col min="5394" max="5394" width="9.33203125" style="563" customWidth="1"/>
    <col min="5395" max="5395" width="1.33203125" style="563" customWidth="1"/>
    <col min="5396" max="5396" width="7.77734375" style="563" customWidth="1"/>
    <col min="5397" max="5397" width="1.33203125" style="563" customWidth="1"/>
    <col min="5398" max="5398" width="0.77734375" style="563" customWidth="1"/>
    <col min="5399" max="5399" width="9.33203125" style="563" customWidth="1"/>
    <col min="5400" max="5400" width="1.33203125" style="563" customWidth="1"/>
    <col min="5401" max="5401" width="0.88671875" style="563" customWidth="1"/>
    <col min="5402" max="5402" width="9.5546875" style="563" bestFit="1" customWidth="1"/>
    <col min="5403" max="5404" width="0.6640625" style="563" customWidth="1"/>
    <col min="5405" max="5405" width="9.6640625" style="563" customWidth="1"/>
    <col min="5406" max="5406" width="1.109375" style="563" customWidth="1"/>
    <col min="5407" max="5407" width="8.5546875" style="563" customWidth="1"/>
    <col min="5408" max="5408" width="14.5546875" style="563" customWidth="1"/>
    <col min="5409" max="5409" width="10" style="563" customWidth="1"/>
    <col min="5410" max="5410" width="7.77734375" style="563" bestFit="1" customWidth="1"/>
    <col min="5411" max="5411" width="9.88671875" style="563" customWidth="1"/>
    <col min="5412" max="5628" width="8.88671875" style="563"/>
    <col min="5629" max="5629" width="38.44140625" style="563" customWidth="1"/>
    <col min="5630" max="5630" width="8.5546875" style="563" customWidth="1"/>
    <col min="5631" max="5631" width="1.33203125" style="563" customWidth="1"/>
    <col min="5632" max="5632" width="8.88671875" style="563" customWidth="1"/>
    <col min="5633" max="5633" width="1.33203125" style="563" customWidth="1"/>
    <col min="5634" max="5634" width="9.33203125" style="563" customWidth="1"/>
    <col min="5635" max="5635" width="1.33203125" style="563" customWidth="1"/>
    <col min="5636" max="5636" width="10" style="563" customWidth="1"/>
    <col min="5637" max="5637" width="1.33203125" style="563" customWidth="1"/>
    <col min="5638" max="5638" width="9.109375" style="563" customWidth="1"/>
    <col min="5639" max="5639" width="1.33203125" style="563" customWidth="1"/>
    <col min="5640" max="5640" width="11.33203125" style="563" customWidth="1"/>
    <col min="5641" max="5641" width="1.33203125" style="563" customWidth="1"/>
    <col min="5642" max="5642" width="9.109375" style="563" customWidth="1"/>
    <col min="5643" max="5643" width="1.6640625" style="563" customWidth="1"/>
    <col min="5644" max="5644" width="11" style="563" customWidth="1"/>
    <col min="5645" max="5645" width="1.33203125" style="563" customWidth="1"/>
    <col min="5646" max="5646" width="10.77734375" style="563" customWidth="1"/>
    <col min="5647" max="5647" width="1.33203125" style="563" customWidth="1"/>
    <col min="5648" max="5648" width="10" style="563" customWidth="1"/>
    <col min="5649" max="5649" width="1.33203125" style="563" customWidth="1"/>
    <col min="5650" max="5650" width="9.33203125" style="563" customWidth="1"/>
    <col min="5651" max="5651" width="1.33203125" style="563" customWidth="1"/>
    <col min="5652" max="5652" width="7.77734375" style="563" customWidth="1"/>
    <col min="5653" max="5653" width="1.33203125" style="563" customWidth="1"/>
    <col min="5654" max="5654" width="0.77734375" style="563" customWidth="1"/>
    <col min="5655" max="5655" width="9.33203125" style="563" customWidth="1"/>
    <col min="5656" max="5656" width="1.33203125" style="563" customWidth="1"/>
    <col min="5657" max="5657" width="0.88671875" style="563" customWidth="1"/>
    <col min="5658" max="5658" width="9.5546875" style="563" bestFit="1" customWidth="1"/>
    <col min="5659" max="5660" width="0.6640625" style="563" customWidth="1"/>
    <col min="5661" max="5661" width="9.6640625" style="563" customWidth="1"/>
    <col min="5662" max="5662" width="1.109375" style="563" customWidth="1"/>
    <col min="5663" max="5663" width="8.5546875" style="563" customWidth="1"/>
    <col min="5664" max="5664" width="14.5546875" style="563" customWidth="1"/>
    <col min="5665" max="5665" width="10" style="563" customWidth="1"/>
    <col min="5666" max="5666" width="7.77734375" style="563" bestFit="1" customWidth="1"/>
    <col min="5667" max="5667" width="9.88671875" style="563" customWidth="1"/>
    <col min="5668" max="5884" width="8.88671875" style="563"/>
    <col min="5885" max="5885" width="38.44140625" style="563" customWidth="1"/>
    <col min="5886" max="5886" width="8.5546875" style="563" customWidth="1"/>
    <col min="5887" max="5887" width="1.33203125" style="563" customWidth="1"/>
    <col min="5888" max="5888" width="8.88671875" style="563" customWidth="1"/>
    <col min="5889" max="5889" width="1.33203125" style="563" customWidth="1"/>
    <col min="5890" max="5890" width="9.33203125" style="563" customWidth="1"/>
    <col min="5891" max="5891" width="1.33203125" style="563" customWidth="1"/>
    <col min="5892" max="5892" width="10" style="563" customWidth="1"/>
    <col min="5893" max="5893" width="1.33203125" style="563" customWidth="1"/>
    <col min="5894" max="5894" width="9.109375" style="563" customWidth="1"/>
    <col min="5895" max="5895" width="1.33203125" style="563" customWidth="1"/>
    <col min="5896" max="5896" width="11.33203125" style="563" customWidth="1"/>
    <col min="5897" max="5897" width="1.33203125" style="563" customWidth="1"/>
    <col min="5898" max="5898" width="9.109375" style="563" customWidth="1"/>
    <col min="5899" max="5899" width="1.6640625" style="563" customWidth="1"/>
    <col min="5900" max="5900" width="11" style="563" customWidth="1"/>
    <col min="5901" max="5901" width="1.33203125" style="563" customWidth="1"/>
    <col min="5902" max="5902" width="10.77734375" style="563" customWidth="1"/>
    <col min="5903" max="5903" width="1.33203125" style="563" customWidth="1"/>
    <col min="5904" max="5904" width="10" style="563" customWidth="1"/>
    <col min="5905" max="5905" width="1.33203125" style="563" customWidth="1"/>
    <col min="5906" max="5906" width="9.33203125" style="563" customWidth="1"/>
    <col min="5907" max="5907" width="1.33203125" style="563" customWidth="1"/>
    <col min="5908" max="5908" width="7.77734375" style="563" customWidth="1"/>
    <col min="5909" max="5909" width="1.33203125" style="563" customWidth="1"/>
    <col min="5910" max="5910" width="0.77734375" style="563" customWidth="1"/>
    <col min="5911" max="5911" width="9.33203125" style="563" customWidth="1"/>
    <col min="5912" max="5912" width="1.33203125" style="563" customWidth="1"/>
    <col min="5913" max="5913" width="0.88671875" style="563" customWidth="1"/>
    <col min="5914" max="5914" width="9.5546875" style="563" bestFit="1" customWidth="1"/>
    <col min="5915" max="5916" width="0.6640625" style="563" customWidth="1"/>
    <col min="5917" max="5917" width="9.6640625" style="563" customWidth="1"/>
    <col min="5918" max="5918" width="1.109375" style="563" customWidth="1"/>
    <col min="5919" max="5919" width="8.5546875" style="563" customWidth="1"/>
    <col min="5920" max="5920" width="14.5546875" style="563" customWidth="1"/>
    <col min="5921" max="5921" width="10" style="563" customWidth="1"/>
    <col min="5922" max="5922" width="7.77734375" style="563" bestFit="1" customWidth="1"/>
    <col min="5923" max="5923" width="9.88671875" style="563" customWidth="1"/>
    <col min="5924" max="6140" width="8.88671875" style="563"/>
    <col min="6141" max="6141" width="38.44140625" style="563" customWidth="1"/>
    <col min="6142" max="6142" width="8.5546875" style="563" customWidth="1"/>
    <col min="6143" max="6143" width="1.33203125" style="563" customWidth="1"/>
    <col min="6144" max="6144" width="8.88671875" style="563" customWidth="1"/>
    <col min="6145" max="6145" width="1.33203125" style="563" customWidth="1"/>
    <col min="6146" max="6146" width="9.33203125" style="563" customWidth="1"/>
    <col min="6147" max="6147" width="1.33203125" style="563" customWidth="1"/>
    <col min="6148" max="6148" width="10" style="563" customWidth="1"/>
    <col min="6149" max="6149" width="1.33203125" style="563" customWidth="1"/>
    <col min="6150" max="6150" width="9.109375" style="563" customWidth="1"/>
    <col min="6151" max="6151" width="1.33203125" style="563" customWidth="1"/>
    <col min="6152" max="6152" width="11.33203125" style="563" customWidth="1"/>
    <col min="6153" max="6153" width="1.33203125" style="563" customWidth="1"/>
    <col min="6154" max="6154" width="9.109375" style="563" customWidth="1"/>
    <col min="6155" max="6155" width="1.6640625" style="563" customWidth="1"/>
    <col min="6156" max="6156" width="11" style="563" customWidth="1"/>
    <col min="6157" max="6157" width="1.33203125" style="563" customWidth="1"/>
    <col min="6158" max="6158" width="10.77734375" style="563" customWidth="1"/>
    <col min="6159" max="6159" width="1.33203125" style="563" customWidth="1"/>
    <col min="6160" max="6160" width="10" style="563" customWidth="1"/>
    <col min="6161" max="6161" width="1.33203125" style="563" customWidth="1"/>
    <col min="6162" max="6162" width="9.33203125" style="563" customWidth="1"/>
    <col min="6163" max="6163" width="1.33203125" style="563" customWidth="1"/>
    <col min="6164" max="6164" width="7.77734375" style="563" customWidth="1"/>
    <col min="6165" max="6165" width="1.33203125" style="563" customWidth="1"/>
    <col min="6166" max="6166" width="0.77734375" style="563" customWidth="1"/>
    <col min="6167" max="6167" width="9.33203125" style="563" customWidth="1"/>
    <col min="6168" max="6168" width="1.33203125" style="563" customWidth="1"/>
    <col min="6169" max="6169" width="0.88671875" style="563" customWidth="1"/>
    <col min="6170" max="6170" width="9.5546875" style="563" bestFit="1" customWidth="1"/>
    <col min="6171" max="6172" width="0.6640625" style="563" customWidth="1"/>
    <col min="6173" max="6173" width="9.6640625" style="563" customWidth="1"/>
    <col min="6174" max="6174" width="1.109375" style="563" customWidth="1"/>
    <col min="6175" max="6175" width="8.5546875" style="563" customWidth="1"/>
    <col min="6176" max="6176" width="14.5546875" style="563" customWidth="1"/>
    <col min="6177" max="6177" width="10" style="563" customWidth="1"/>
    <col min="6178" max="6178" width="7.77734375" style="563" bestFit="1" customWidth="1"/>
    <col min="6179" max="6179" width="9.88671875" style="563" customWidth="1"/>
    <col min="6180" max="6396" width="8.88671875" style="563"/>
    <col min="6397" max="6397" width="38.44140625" style="563" customWidth="1"/>
    <col min="6398" max="6398" width="8.5546875" style="563" customWidth="1"/>
    <col min="6399" max="6399" width="1.33203125" style="563" customWidth="1"/>
    <col min="6400" max="6400" width="8.88671875" style="563" customWidth="1"/>
    <col min="6401" max="6401" width="1.33203125" style="563" customWidth="1"/>
    <col min="6402" max="6402" width="9.33203125" style="563" customWidth="1"/>
    <col min="6403" max="6403" width="1.33203125" style="563" customWidth="1"/>
    <col min="6404" max="6404" width="10" style="563" customWidth="1"/>
    <col min="6405" max="6405" width="1.33203125" style="563" customWidth="1"/>
    <col min="6406" max="6406" width="9.109375" style="563" customWidth="1"/>
    <col min="6407" max="6407" width="1.33203125" style="563" customWidth="1"/>
    <col min="6408" max="6408" width="11.33203125" style="563" customWidth="1"/>
    <col min="6409" max="6409" width="1.33203125" style="563" customWidth="1"/>
    <col min="6410" max="6410" width="9.109375" style="563" customWidth="1"/>
    <col min="6411" max="6411" width="1.6640625" style="563" customWidth="1"/>
    <col min="6412" max="6412" width="11" style="563" customWidth="1"/>
    <col min="6413" max="6413" width="1.33203125" style="563" customWidth="1"/>
    <col min="6414" max="6414" width="10.77734375" style="563" customWidth="1"/>
    <col min="6415" max="6415" width="1.33203125" style="563" customWidth="1"/>
    <col min="6416" max="6416" width="10" style="563" customWidth="1"/>
    <col min="6417" max="6417" width="1.33203125" style="563" customWidth="1"/>
    <col min="6418" max="6418" width="9.33203125" style="563" customWidth="1"/>
    <col min="6419" max="6419" width="1.33203125" style="563" customWidth="1"/>
    <col min="6420" max="6420" width="7.77734375" style="563" customWidth="1"/>
    <col min="6421" max="6421" width="1.33203125" style="563" customWidth="1"/>
    <col min="6422" max="6422" width="0.77734375" style="563" customWidth="1"/>
    <col min="6423" max="6423" width="9.33203125" style="563" customWidth="1"/>
    <col min="6424" max="6424" width="1.33203125" style="563" customWidth="1"/>
    <col min="6425" max="6425" width="0.88671875" style="563" customWidth="1"/>
    <col min="6426" max="6426" width="9.5546875" style="563" bestFit="1" customWidth="1"/>
    <col min="6427" max="6428" width="0.6640625" style="563" customWidth="1"/>
    <col min="6429" max="6429" width="9.6640625" style="563" customWidth="1"/>
    <col min="6430" max="6430" width="1.109375" style="563" customWidth="1"/>
    <col min="6431" max="6431" width="8.5546875" style="563" customWidth="1"/>
    <col min="6432" max="6432" width="14.5546875" style="563" customWidth="1"/>
    <col min="6433" max="6433" width="10" style="563" customWidth="1"/>
    <col min="6434" max="6434" width="7.77734375" style="563" bestFit="1" customWidth="1"/>
    <col min="6435" max="6435" width="9.88671875" style="563" customWidth="1"/>
    <col min="6436" max="6652" width="8.88671875" style="563"/>
    <col min="6653" max="6653" width="38.44140625" style="563" customWidth="1"/>
    <col min="6654" max="6654" width="8.5546875" style="563" customWidth="1"/>
    <col min="6655" max="6655" width="1.33203125" style="563" customWidth="1"/>
    <col min="6656" max="6656" width="8.88671875" style="563" customWidth="1"/>
    <col min="6657" max="6657" width="1.33203125" style="563" customWidth="1"/>
    <col min="6658" max="6658" width="9.33203125" style="563" customWidth="1"/>
    <col min="6659" max="6659" width="1.33203125" style="563" customWidth="1"/>
    <col min="6660" max="6660" width="10" style="563" customWidth="1"/>
    <col min="6661" max="6661" width="1.33203125" style="563" customWidth="1"/>
    <col min="6662" max="6662" width="9.109375" style="563" customWidth="1"/>
    <col min="6663" max="6663" width="1.33203125" style="563" customWidth="1"/>
    <col min="6664" max="6664" width="11.33203125" style="563" customWidth="1"/>
    <col min="6665" max="6665" width="1.33203125" style="563" customWidth="1"/>
    <col min="6666" max="6666" width="9.109375" style="563" customWidth="1"/>
    <col min="6667" max="6667" width="1.6640625" style="563" customWidth="1"/>
    <col min="6668" max="6668" width="11" style="563" customWidth="1"/>
    <col min="6669" max="6669" width="1.33203125" style="563" customWidth="1"/>
    <col min="6670" max="6670" width="10.77734375" style="563" customWidth="1"/>
    <col min="6671" max="6671" width="1.33203125" style="563" customWidth="1"/>
    <col min="6672" max="6672" width="10" style="563" customWidth="1"/>
    <col min="6673" max="6673" width="1.33203125" style="563" customWidth="1"/>
    <col min="6674" max="6674" width="9.33203125" style="563" customWidth="1"/>
    <col min="6675" max="6675" width="1.33203125" style="563" customWidth="1"/>
    <col min="6676" max="6676" width="7.77734375" style="563" customWidth="1"/>
    <col min="6677" max="6677" width="1.33203125" style="563" customWidth="1"/>
    <col min="6678" max="6678" width="0.77734375" style="563" customWidth="1"/>
    <col min="6679" max="6679" width="9.33203125" style="563" customWidth="1"/>
    <col min="6680" max="6680" width="1.33203125" style="563" customWidth="1"/>
    <col min="6681" max="6681" width="0.88671875" style="563" customWidth="1"/>
    <col min="6682" max="6682" width="9.5546875" style="563" bestFit="1" customWidth="1"/>
    <col min="6683" max="6684" width="0.6640625" style="563" customWidth="1"/>
    <col min="6685" max="6685" width="9.6640625" style="563" customWidth="1"/>
    <col min="6686" max="6686" width="1.109375" style="563" customWidth="1"/>
    <col min="6687" max="6687" width="8.5546875" style="563" customWidth="1"/>
    <col min="6688" max="6688" width="14.5546875" style="563" customWidth="1"/>
    <col min="6689" max="6689" width="10" style="563" customWidth="1"/>
    <col min="6690" max="6690" width="7.77734375" style="563" bestFit="1" customWidth="1"/>
    <col min="6691" max="6691" width="9.88671875" style="563" customWidth="1"/>
    <col min="6692" max="6908" width="8.88671875" style="563"/>
    <col min="6909" max="6909" width="38.44140625" style="563" customWidth="1"/>
    <col min="6910" max="6910" width="8.5546875" style="563" customWidth="1"/>
    <col min="6911" max="6911" width="1.33203125" style="563" customWidth="1"/>
    <col min="6912" max="6912" width="8.88671875" style="563" customWidth="1"/>
    <col min="6913" max="6913" width="1.33203125" style="563" customWidth="1"/>
    <col min="6914" max="6914" width="9.33203125" style="563" customWidth="1"/>
    <col min="6915" max="6915" width="1.33203125" style="563" customWidth="1"/>
    <col min="6916" max="6916" width="10" style="563" customWidth="1"/>
    <col min="6917" max="6917" width="1.33203125" style="563" customWidth="1"/>
    <col min="6918" max="6918" width="9.109375" style="563" customWidth="1"/>
    <col min="6919" max="6919" width="1.33203125" style="563" customWidth="1"/>
    <col min="6920" max="6920" width="11.33203125" style="563" customWidth="1"/>
    <col min="6921" max="6921" width="1.33203125" style="563" customWidth="1"/>
    <col min="6922" max="6922" width="9.109375" style="563" customWidth="1"/>
    <col min="6923" max="6923" width="1.6640625" style="563" customWidth="1"/>
    <col min="6924" max="6924" width="11" style="563" customWidth="1"/>
    <col min="6925" max="6925" width="1.33203125" style="563" customWidth="1"/>
    <col min="6926" max="6926" width="10.77734375" style="563" customWidth="1"/>
    <col min="6927" max="6927" width="1.33203125" style="563" customWidth="1"/>
    <col min="6928" max="6928" width="10" style="563" customWidth="1"/>
    <col min="6929" max="6929" width="1.33203125" style="563" customWidth="1"/>
    <col min="6930" max="6930" width="9.33203125" style="563" customWidth="1"/>
    <col min="6931" max="6931" width="1.33203125" style="563" customWidth="1"/>
    <col min="6932" max="6932" width="7.77734375" style="563" customWidth="1"/>
    <col min="6933" max="6933" width="1.33203125" style="563" customWidth="1"/>
    <col min="6934" max="6934" width="0.77734375" style="563" customWidth="1"/>
    <col min="6935" max="6935" width="9.33203125" style="563" customWidth="1"/>
    <col min="6936" max="6936" width="1.33203125" style="563" customWidth="1"/>
    <col min="6937" max="6937" width="0.88671875" style="563" customWidth="1"/>
    <col min="6938" max="6938" width="9.5546875" style="563" bestFit="1" customWidth="1"/>
    <col min="6939" max="6940" width="0.6640625" style="563" customWidth="1"/>
    <col min="6941" max="6941" width="9.6640625" style="563" customWidth="1"/>
    <col min="6942" max="6942" width="1.109375" style="563" customWidth="1"/>
    <col min="6943" max="6943" width="8.5546875" style="563" customWidth="1"/>
    <col min="6944" max="6944" width="14.5546875" style="563" customWidth="1"/>
    <col min="6945" max="6945" width="10" style="563" customWidth="1"/>
    <col min="6946" max="6946" width="7.77734375" style="563" bestFit="1" customWidth="1"/>
    <col min="6947" max="6947" width="9.88671875" style="563" customWidth="1"/>
    <col min="6948" max="7164" width="8.88671875" style="563"/>
    <col min="7165" max="7165" width="38.44140625" style="563" customWidth="1"/>
    <col min="7166" max="7166" width="8.5546875" style="563" customWidth="1"/>
    <col min="7167" max="7167" width="1.33203125" style="563" customWidth="1"/>
    <col min="7168" max="7168" width="8.88671875" style="563" customWidth="1"/>
    <col min="7169" max="7169" width="1.33203125" style="563" customWidth="1"/>
    <col min="7170" max="7170" width="9.33203125" style="563" customWidth="1"/>
    <col min="7171" max="7171" width="1.33203125" style="563" customWidth="1"/>
    <col min="7172" max="7172" width="10" style="563" customWidth="1"/>
    <col min="7173" max="7173" width="1.33203125" style="563" customWidth="1"/>
    <col min="7174" max="7174" width="9.109375" style="563" customWidth="1"/>
    <col min="7175" max="7175" width="1.33203125" style="563" customWidth="1"/>
    <col min="7176" max="7176" width="11.33203125" style="563" customWidth="1"/>
    <col min="7177" max="7177" width="1.33203125" style="563" customWidth="1"/>
    <col min="7178" max="7178" width="9.109375" style="563" customWidth="1"/>
    <col min="7179" max="7179" width="1.6640625" style="563" customWidth="1"/>
    <col min="7180" max="7180" width="11" style="563" customWidth="1"/>
    <col min="7181" max="7181" width="1.33203125" style="563" customWidth="1"/>
    <col min="7182" max="7182" width="10.77734375" style="563" customWidth="1"/>
    <col min="7183" max="7183" width="1.33203125" style="563" customWidth="1"/>
    <col min="7184" max="7184" width="10" style="563" customWidth="1"/>
    <col min="7185" max="7185" width="1.33203125" style="563" customWidth="1"/>
    <col min="7186" max="7186" width="9.33203125" style="563" customWidth="1"/>
    <col min="7187" max="7187" width="1.33203125" style="563" customWidth="1"/>
    <col min="7188" max="7188" width="7.77734375" style="563" customWidth="1"/>
    <col min="7189" max="7189" width="1.33203125" style="563" customWidth="1"/>
    <col min="7190" max="7190" width="0.77734375" style="563" customWidth="1"/>
    <col min="7191" max="7191" width="9.33203125" style="563" customWidth="1"/>
    <col min="7192" max="7192" width="1.33203125" style="563" customWidth="1"/>
    <col min="7193" max="7193" width="0.88671875" style="563" customWidth="1"/>
    <col min="7194" max="7194" width="9.5546875" style="563" bestFit="1" customWidth="1"/>
    <col min="7195" max="7196" width="0.6640625" style="563" customWidth="1"/>
    <col min="7197" max="7197" width="9.6640625" style="563" customWidth="1"/>
    <col min="7198" max="7198" width="1.109375" style="563" customWidth="1"/>
    <col min="7199" max="7199" width="8.5546875" style="563" customWidth="1"/>
    <col min="7200" max="7200" width="14.5546875" style="563" customWidth="1"/>
    <col min="7201" max="7201" width="10" style="563" customWidth="1"/>
    <col min="7202" max="7202" width="7.77734375" style="563" bestFit="1" customWidth="1"/>
    <col min="7203" max="7203" width="9.88671875" style="563" customWidth="1"/>
    <col min="7204" max="7420" width="8.88671875" style="563"/>
    <col min="7421" max="7421" width="38.44140625" style="563" customWidth="1"/>
    <col min="7422" max="7422" width="8.5546875" style="563" customWidth="1"/>
    <col min="7423" max="7423" width="1.33203125" style="563" customWidth="1"/>
    <col min="7424" max="7424" width="8.88671875" style="563" customWidth="1"/>
    <col min="7425" max="7425" width="1.33203125" style="563" customWidth="1"/>
    <col min="7426" max="7426" width="9.33203125" style="563" customWidth="1"/>
    <col min="7427" max="7427" width="1.33203125" style="563" customWidth="1"/>
    <col min="7428" max="7428" width="10" style="563" customWidth="1"/>
    <col min="7429" max="7429" width="1.33203125" style="563" customWidth="1"/>
    <col min="7430" max="7430" width="9.109375" style="563" customWidth="1"/>
    <col min="7431" max="7431" width="1.33203125" style="563" customWidth="1"/>
    <col min="7432" max="7432" width="11.33203125" style="563" customWidth="1"/>
    <col min="7433" max="7433" width="1.33203125" style="563" customWidth="1"/>
    <col min="7434" max="7434" width="9.109375" style="563" customWidth="1"/>
    <col min="7435" max="7435" width="1.6640625" style="563" customWidth="1"/>
    <col min="7436" max="7436" width="11" style="563" customWidth="1"/>
    <col min="7437" max="7437" width="1.33203125" style="563" customWidth="1"/>
    <col min="7438" max="7438" width="10.77734375" style="563" customWidth="1"/>
    <col min="7439" max="7439" width="1.33203125" style="563" customWidth="1"/>
    <col min="7440" max="7440" width="10" style="563" customWidth="1"/>
    <col min="7441" max="7441" width="1.33203125" style="563" customWidth="1"/>
    <col min="7442" max="7442" width="9.33203125" style="563" customWidth="1"/>
    <col min="7443" max="7443" width="1.33203125" style="563" customWidth="1"/>
    <col min="7444" max="7444" width="7.77734375" style="563" customWidth="1"/>
    <col min="7445" max="7445" width="1.33203125" style="563" customWidth="1"/>
    <col min="7446" max="7446" width="0.77734375" style="563" customWidth="1"/>
    <col min="7447" max="7447" width="9.33203125" style="563" customWidth="1"/>
    <col min="7448" max="7448" width="1.33203125" style="563" customWidth="1"/>
    <col min="7449" max="7449" width="0.88671875" style="563" customWidth="1"/>
    <col min="7450" max="7450" width="9.5546875" style="563" bestFit="1" customWidth="1"/>
    <col min="7451" max="7452" width="0.6640625" style="563" customWidth="1"/>
    <col min="7453" max="7453" width="9.6640625" style="563" customWidth="1"/>
    <col min="7454" max="7454" width="1.109375" style="563" customWidth="1"/>
    <col min="7455" max="7455" width="8.5546875" style="563" customWidth="1"/>
    <col min="7456" max="7456" width="14.5546875" style="563" customWidth="1"/>
    <col min="7457" max="7457" width="10" style="563" customWidth="1"/>
    <col min="7458" max="7458" width="7.77734375" style="563" bestFit="1" customWidth="1"/>
    <col min="7459" max="7459" width="9.88671875" style="563" customWidth="1"/>
    <col min="7460" max="7676" width="8.88671875" style="563"/>
    <col min="7677" max="7677" width="38.44140625" style="563" customWidth="1"/>
    <col min="7678" max="7678" width="8.5546875" style="563" customWidth="1"/>
    <col min="7679" max="7679" width="1.33203125" style="563" customWidth="1"/>
    <col min="7680" max="7680" width="8.88671875" style="563" customWidth="1"/>
    <col min="7681" max="7681" width="1.33203125" style="563" customWidth="1"/>
    <col min="7682" max="7682" width="9.33203125" style="563" customWidth="1"/>
    <col min="7683" max="7683" width="1.33203125" style="563" customWidth="1"/>
    <col min="7684" max="7684" width="10" style="563" customWidth="1"/>
    <col min="7685" max="7685" width="1.33203125" style="563" customWidth="1"/>
    <col min="7686" max="7686" width="9.109375" style="563" customWidth="1"/>
    <col min="7687" max="7687" width="1.33203125" style="563" customWidth="1"/>
    <col min="7688" max="7688" width="11.33203125" style="563" customWidth="1"/>
    <col min="7689" max="7689" width="1.33203125" style="563" customWidth="1"/>
    <col min="7690" max="7690" width="9.109375" style="563" customWidth="1"/>
    <col min="7691" max="7691" width="1.6640625" style="563" customWidth="1"/>
    <col min="7692" max="7692" width="11" style="563" customWidth="1"/>
    <col min="7693" max="7693" width="1.33203125" style="563" customWidth="1"/>
    <col min="7694" max="7694" width="10.77734375" style="563" customWidth="1"/>
    <col min="7695" max="7695" width="1.33203125" style="563" customWidth="1"/>
    <col min="7696" max="7696" width="10" style="563" customWidth="1"/>
    <col min="7697" max="7697" width="1.33203125" style="563" customWidth="1"/>
    <col min="7698" max="7698" width="9.33203125" style="563" customWidth="1"/>
    <col min="7699" max="7699" width="1.33203125" style="563" customWidth="1"/>
    <col min="7700" max="7700" width="7.77734375" style="563" customWidth="1"/>
    <col min="7701" max="7701" width="1.33203125" style="563" customWidth="1"/>
    <col min="7702" max="7702" width="0.77734375" style="563" customWidth="1"/>
    <col min="7703" max="7703" width="9.33203125" style="563" customWidth="1"/>
    <col min="7704" max="7704" width="1.33203125" style="563" customWidth="1"/>
    <col min="7705" max="7705" width="0.88671875" style="563" customWidth="1"/>
    <col min="7706" max="7706" width="9.5546875" style="563" bestFit="1" customWidth="1"/>
    <col min="7707" max="7708" width="0.6640625" style="563" customWidth="1"/>
    <col min="7709" max="7709" width="9.6640625" style="563" customWidth="1"/>
    <col min="7710" max="7710" width="1.109375" style="563" customWidth="1"/>
    <col min="7711" max="7711" width="8.5546875" style="563" customWidth="1"/>
    <col min="7712" max="7712" width="14.5546875" style="563" customWidth="1"/>
    <col min="7713" max="7713" width="10" style="563" customWidth="1"/>
    <col min="7714" max="7714" width="7.77734375" style="563" bestFit="1" customWidth="1"/>
    <col min="7715" max="7715" width="9.88671875" style="563" customWidth="1"/>
    <col min="7716" max="7932" width="8.88671875" style="563"/>
    <col min="7933" max="7933" width="38.44140625" style="563" customWidth="1"/>
    <col min="7934" max="7934" width="8.5546875" style="563" customWidth="1"/>
    <col min="7935" max="7935" width="1.33203125" style="563" customWidth="1"/>
    <col min="7936" max="7936" width="8.88671875" style="563" customWidth="1"/>
    <col min="7937" max="7937" width="1.33203125" style="563" customWidth="1"/>
    <col min="7938" max="7938" width="9.33203125" style="563" customWidth="1"/>
    <col min="7939" max="7939" width="1.33203125" style="563" customWidth="1"/>
    <col min="7940" max="7940" width="10" style="563" customWidth="1"/>
    <col min="7941" max="7941" width="1.33203125" style="563" customWidth="1"/>
    <col min="7942" max="7942" width="9.109375" style="563" customWidth="1"/>
    <col min="7943" max="7943" width="1.33203125" style="563" customWidth="1"/>
    <col min="7944" max="7944" width="11.33203125" style="563" customWidth="1"/>
    <col min="7945" max="7945" width="1.33203125" style="563" customWidth="1"/>
    <col min="7946" max="7946" width="9.109375" style="563" customWidth="1"/>
    <col min="7947" max="7947" width="1.6640625" style="563" customWidth="1"/>
    <col min="7948" max="7948" width="11" style="563" customWidth="1"/>
    <col min="7949" max="7949" width="1.33203125" style="563" customWidth="1"/>
    <col min="7950" max="7950" width="10.77734375" style="563" customWidth="1"/>
    <col min="7951" max="7951" width="1.33203125" style="563" customWidth="1"/>
    <col min="7952" max="7952" width="10" style="563" customWidth="1"/>
    <col min="7953" max="7953" width="1.33203125" style="563" customWidth="1"/>
    <col min="7954" max="7954" width="9.33203125" style="563" customWidth="1"/>
    <col min="7955" max="7955" width="1.33203125" style="563" customWidth="1"/>
    <col min="7956" max="7956" width="7.77734375" style="563" customWidth="1"/>
    <col min="7957" max="7957" width="1.33203125" style="563" customWidth="1"/>
    <col min="7958" max="7958" width="0.77734375" style="563" customWidth="1"/>
    <col min="7959" max="7959" width="9.33203125" style="563" customWidth="1"/>
    <col min="7960" max="7960" width="1.33203125" style="563" customWidth="1"/>
    <col min="7961" max="7961" width="0.88671875" style="563" customWidth="1"/>
    <col min="7962" max="7962" width="9.5546875" style="563" bestFit="1" customWidth="1"/>
    <col min="7963" max="7964" width="0.6640625" style="563" customWidth="1"/>
    <col min="7965" max="7965" width="9.6640625" style="563" customWidth="1"/>
    <col min="7966" max="7966" width="1.109375" style="563" customWidth="1"/>
    <col min="7967" max="7967" width="8.5546875" style="563" customWidth="1"/>
    <col min="7968" max="7968" width="14.5546875" style="563" customWidth="1"/>
    <col min="7969" max="7969" width="10" style="563" customWidth="1"/>
    <col min="7970" max="7970" width="7.77734375" style="563" bestFit="1" customWidth="1"/>
    <col min="7971" max="7971" width="9.88671875" style="563" customWidth="1"/>
    <col min="7972" max="8188" width="8.88671875" style="563"/>
    <col min="8189" max="8189" width="38.44140625" style="563" customWidth="1"/>
    <col min="8190" max="8190" width="8.5546875" style="563" customWidth="1"/>
    <col min="8191" max="8191" width="1.33203125" style="563" customWidth="1"/>
    <col min="8192" max="8192" width="8.88671875" style="563" customWidth="1"/>
    <col min="8193" max="8193" width="1.33203125" style="563" customWidth="1"/>
    <col min="8194" max="8194" width="9.33203125" style="563" customWidth="1"/>
    <col min="8195" max="8195" width="1.33203125" style="563" customWidth="1"/>
    <col min="8196" max="8196" width="10" style="563" customWidth="1"/>
    <col min="8197" max="8197" width="1.33203125" style="563" customWidth="1"/>
    <col min="8198" max="8198" width="9.109375" style="563" customWidth="1"/>
    <col min="8199" max="8199" width="1.33203125" style="563" customWidth="1"/>
    <col min="8200" max="8200" width="11.33203125" style="563" customWidth="1"/>
    <col min="8201" max="8201" width="1.33203125" style="563" customWidth="1"/>
    <col min="8202" max="8202" width="9.109375" style="563" customWidth="1"/>
    <col min="8203" max="8203" width="1.6640625" style="563" customWidth="1"/>
    <col min="8204" max="8204" width="11" style="563" customWidth="1"/>
    <col min="8205" max="8205" width="1.33203125" style="563" customWidth="1"/>
    <col min="8206" max="8206" width="10.77734375" style="563" customWidth="1"/>
    <col min="8207" max="8207" width="1.33203125" style="563" customWidth="1"/>
    <col min="8208" max="8208" width="10" style="563" customWidth="1"/>
    <col min="8209" max="8209" width="1.33203125" style="563" customWidth="1"/>
    <col min="8210" max="8210" width="9.33203125" style="563" customWidth="1"/>
    <col min="8211" max="8211" width="1.33203125" style="563" customWidth="1"/>
    <col min="8212" max="8212" width="7.77734375" style="563" customWidth="1"/>
    <col min="8213" max="8213" width="1.33203125" style="563" customWidth="1"/>
    <col min="8214" max="8214" width="0.77734375" style="563" customWidth="1"/>
    <col min="8215" max="8215" width="9.33203125" style="563" customWidth="1"/>
    <col min="8216" max="8216" width="1.33203125" style="563" customWidth="1"/>
    <col min="8217" max="8217" width="0.88671875" style="563" customWidth="1"/>
    <col min="8218" max="8218" width="9.5546875" style="563" bestFit="1" customWidth="1"/>
    <col min="8219" max="8220" width="0.6640625" style="563" customWidth="1"/>
    <col min="8221" max="8221" width="9.6640625" style="563" customWidth="1"/>
    <col min="8222" max="8222" width="1.109375" style="563" customWidth="1"/>
    <col min="8223" max="8223" width="8.5546875" style="563" customWidth="1"/>
    <col min="8224" max="8224" width="14.5546875" style="563" customWidth="1"/>
    <col min="8225" max="8225" width="10" style="563" customWidth="1"/>
    <col min="8226" max="8226" width="7.77734375" style="563" bestFit="1" customWidth="1"/>
    <col min="8227" max="8227" width="9.88671875" style="563" customWidth="1"/>
    <col min="8228" max="8444" width="8.88671875" style="563"/>
    <col min="8445" max="8445" width="38.44140625" style="563" customWidth="1"/>
    <col min="8446" max="8446" width="8.5546875" style="563" customWidth="1"/>
    <col min="8447" max="8447" width="1.33203125" style="563" customWidth="1"/>
    <col min="8448" max="8448" width="8.88671875" style="563" customWidth="1"/>
    <col min="8449" max="8449" width="1.33203125" style="563" customWidth="1"/>
    <col min="8450" max="8450" width="9.33203125" style="563" customWidth="1"/>
    <col min="8451" max="8451" width="1.33203125" style="563" customWidth="1"/>
    <col min="8452" max="8452" width="10" style="563" customWidth="1"/>
    <col min="8453" max="8453" width="1.33203125" style="563" customWidth="1"/>
    <col min="8454" max="8454" width="9.109375" style="563" customWidth="1"/>
    <col min="8455" max="8455" width="1.33203125" style="563" customWidth="1"/>
    <col min="8456" max="8456" width="11.33203125" style="563" customWidth="1"/>
    <col min="8457" max="8457" width="1.33203125" style="563" customWidth="1"/>
    <col min="8458" max="8458" width="9.109375" style="563" customWidth="1"/>
    <col min="8459" max="8459" width="1.6640625" style="563" customWidth="1"/>
    <col min="8460" max="8460" width="11" style="563" customWidth="1"/>
    <col min="8461" max="8461" width="1.33203125" style="563" customWidth="1"/>
    <col min="8462" max="8462" width="10.77734375" style="563" customWidth="1"/>
    <col min="8463" max="8463" width="1.33203125" style="563" customWidth="1"/>
    <col min="8464" max="8464" width="10" style="563" customWidth="1"/>
    <col min="8465" max="8465" width="1.33203125" style="563" customWidth="1"/>
    <col min="8466" max="8466" width="9.33203125" style="563" customWidth="1"/>
    <col min="8467" max="8467" width="1.33203125" style="563" customWidth="1"/>
    <col min="8468" max="8468" width="7.77734375" style="563" customWidth="1"/>
    <col min="8469" max="8469" width="1.33203125" style="563" customWidth="1"/>
    <col min="8470" max="8470" width="0.77734375" style="563" customWidth="1"/>
    <col min="8471" max="8471" width="9.33203125" style="563" customWidth="1"/>
    <col min="8472" max="8472" width="1.33203125" style="563" customWidth="1"/>
    <col min="8473" max="8473" width="0.88671875" style="563" customWidth="1"/>
    <col min="8474" max="8474" width="9.5546875" style="563" bestFit="1" customWidth="1"/>
    <col min="8475" max="8476" width="0.6640625" style="563" customWidth="1"/>
    <col min="8477" max="8477" width="9.6640625" style="563" customWidth="1"/>
    <col min="8478" max="8478" width="1.109375" style="563" customWidth="1"/>
    <col min="8479" max="8479" width="8.5546875" style="563" customWidth="1"/>
    <col min="8480" max="8480" width="14.5546875" style="563" customWidth="1"/>
    <col min="8481" max="8481" width="10" style="563" customWidth="1"/>
    <col min="8482" max="8482" width="7.77734375" style="563" bestFit="1" customWidth="1"/>
    <col min="8483" max="8483" width="9.88671875" style="563" customWidth="1"/>
    <col min="8484" max="8700" width="8.88671875" style="563"/>
    <col min="8701" max="8701" width="38.44140625" style="563" customWidth="1"/>
    <col min="8702" max="8702" width="8.5546875" style="563" customWidth="1"/>
    <col min="8703" max="8703" width="1.33203125" style="563" customWidth="1"/>
    <col min="8704" max="8704" width="8.88671875" style="563" customWidth="1"/>
    <col min="8705" max="8705" width="1.33203125" style="563" customWidth="1"/>
    <col min="8706" max="8706" width="9.33203125" style="563" customWidth="1"/>
    <col min="8707" max="8707" width="1.33203125" style="563" customWidth="1"/>
    <col min="8708" max="8708" width="10" style="563" customWidth="1"/>
    <col min="8709" max="8709" width="1.33203125" style="563" customWidth="1"/>
    <col min="8710" max="8710" width="9.109375" style="563" customWidth="1"/>
    <col min="8711" max="8711" width="1.33203125" style="563" customWidth="1"/>
    <col min="8712" max="8712" width="11.33203125" style="563" customWidth="1"/>
    <col min="8713" max="8713" width="1.33203125" style="563" customWidth="1"/>
    <col min="8714" max="8714" width="9.109375" style="563" customWidth="1"/>
    <col min="8715" max="8715" width="1.6640625" style="563" customWidth="1"/>
    <col min="8716" max="8716" width="11" style="563" customWidth="1"/>
    <col min="8717" max="8717" width="1.33203125" style="563" customWidth="1"/>
    <col min="8718" max="8718" width="10.77734375" style="563" customWidth="1"/>
    <col min="8719" max="8719" width="1.33203125" style="563" customWidth="1"/>
    <col min="8720" max="8720" width="10" style="563" customWidth="1"/>
    <col min="8721" max="8721" width="1.33203125" style="563" customWidth="1"/>
    <col min="8722" max="8722" width="9.33203125" style="563" customWidth="1"/>
    <col min="8723" max="8723" width="1.33203125" style="563" customWidth="1"/>
    <col min="8724" max="8724" width="7.77734375" style="563" customWidth="1"/>
    <col min="8725" max="8725" width="1.33203125" style="563" customWidth="1"/>
    <col min="8726" max="8726" width="0.77734375" style="563" customWidth="1"/>
    <col min="8727" max="8727" width="9.33203125" style="563" customWidth="1"/>
    <col min="8728" max="8728" width="1.33203125" style="563" customWidth="1"/>
    <col min="8729" max="8729" width="0.88671875" style="563" customWidth="1"/>
    <col min="8730" max="8730" width="9.5546875" style="563" bestFit="1" customWidth="1"/>
    <col min="8731" max="8732" width="0.6640625" style="563" customWidth="1"/>
    <col min="8733" max="8733" width="9.6640625" style="563" customWidth="1"/>
    <col min="8734" max="8734" width="1.109375" style="563" customWidth="1"/>
    <col min="8735" max="8735" width="8.5546875" style="563" customWidth="1"/>
    <col min="8736" max="8736" width="14.5546875" style="563" customWidth="1"/>
    <col min="8737" max="8737" width="10" style="563" customWidth="1"/>
    <col min="8738" max="8738" width="7.77734375" style="563" bestFit="1" customWidth="1"/>
    <col min="8739" max="8739" width="9.88671875" style="563" customWidth="1"/>
    <col min="8740" max="8956" width="8.88671875" style="563"/>
    <col min="8957" max="8957" width="38.44140625" style="563" customWidth="1"/>
    <col min="8958" max="8958" width="8.5546875" style="563" customWidth="1"/>
    <col min="8959" max="8959" width="1.33203125" style="563" customWidth="1"/>
    <col min="8960" max="8960" width="8.88671875" style="563" customWidth="1"/>
    <col min="8961" max="8961" width="1.33203125" style="563" customWidth="1"/>
    <col min="8962" max="8962" width="9.33203125" style="563" customWidth="1"/>
    <col min="8963" max="8963" width="1.33203125" style="563" customWidth="1"/>
    <col min="8964" max="8964" width="10" style="563" customWidth="1"/>
    <col min="8965" max="8965" width="1.33203125" style="563" customWidth="1"/>
    <col min="8966" max="8966" width="9.109375" style="563" customWidth="1"/>
    <col min="8967" max="8967" width="1.33203125" style="563" customWidth="1"/>
    <col min="8968" max="8968" width="11.33203125" style="563" customWidth="1"/>
    <col min="8969" max="8969" width="1.33203125" style="563" customWidth="1"/>
    <col min="8970" max="8970" width="9.109375" style="563" customWidth="1"/>
    <col min="8971" max="8971" width="1.6640625" style="563" customWidth="1"/>
    <col min="8972" max="8972" width="11" style="563" customWidth="1"/>
    <col min="8973" max="8973" width="1.33203125" style="563" customWidth="1"/>
    <col min="8974" max="8974" width="10.77734375" style="563" customWidth="1"/>
    <col min="8975" max="8975" width="1.33203125" style="563" customWidth="1"/>
    <col min="8976" max="8976" width="10" style="563" customWidth="1"/>
    <col min="8977" max="8977" width="1.33203125" style="563" customWidth="1"/>
    <col min="8978" max="8978" width="9.33203125" style="563" customWidth="1"/>
    <col min="8979" max="8979" width="1.33203125" style="563" customWidth="1"/>
    <col min="8980" max="8980" width="7.77734375" style="563" customWidth="1"/>
    <col min="8981" max="8981" width="1.33203125" style="563" customWidth="1"/>
    <col min="8982" max="8982" width="0.77734375" style="563" customWidth="1"/>
    <col min="8983" max="8983" width="9.33203125" style="563" customWidth="1"/>
    <col min="8984" max="8984" width="1.33203125" style="563" customWidth="1"/>
    <col min="8985" max="8985" width="0.88671875" style="563" customWidth="1"/>
    <col min="8986" max="8986" width="9.5546875" style="563" bestFit="1" customWidth="1"/>
    <col min="8987" max="8988" width="0.6640625" style="563" customWidth="1"/>
    <col min="8989" max="8989" width="9.6640625" style="563" customWidth="1"/>
    <col min="8990" max="8990" width="1.109375" style="563" customWidth="1"/>
    <col min="8991" max="8991" width="8.5546875" style="563" customWidth="1"/>
    <col min="8992" max="8992" width="14.5546875" style="563" customWidth="1"/>
    <col min="8993" max="8993" width="10" style="563" customWidth="1"/>
    <col min="8994" max="8994" width="7.77734375" style="563" bestFit="1" customWidth="1"/>
    <col min="8995" max="8995" width="9.88671875" style="563" customWidth="1"/>
    <col min="8996" max="9212" width="8.88671875" style="563"/>
    <col min="9213" max="9213" width="38.44140625" style="563" customWidth="1"/>
    <col min="9214" max="9214" width="8.5546875" style="563" customWidth="1"/>
    <col min="9215" max="9215" width="1.33203125" style="563" customWidth="1"/>
    <col min="9216" max="9216" width="8.88671875" style="563" customWidth="1"/>
    <col min="9217" max="9217" width="1.33203125" style="563" customWidth="1"/>
    <col min="9218" max="9218" width="9.33203125" style="563" customWidth="1"/>
    <col min="9219" max="9219" width="1.33203125" style="563" customWidth="1"/>
    <col min="9220" max="9220" width="10" style="563" customWidth="1"/>
    <col min="9221" max="9221" width="1.33203125" style="563" customWidth="1"/>
    <col min="9222" max="9222" width="9.109375" style="563" customWidth="1"/>
    <col min="9223" max="9223" width="1.33203125" style="563" customWidth="1"/>
    <col min="9224" max="9224" width="11.33203125" style="563" customWidth="1"/>
    <col min="9225" max="9225" width="1.33203125" style="563" customWidth="1"/>
    <col min="9226" max="9226" width="9.109375" style="563" customWidth="1"/>
    <col min="9227" max="9227" width="1.6640625" style="563" customWidth="1"/>
    <col min="9228" max="9228" width="11" style="563" customWidth="1"/>
    <col min="9229" max="9229" width="1.33203125" style="563" customWidth="1"/>
    <col min="9230" max="9230" width="10.77734375" style="563" customWidth="1"/>
    <col min="9231" max="9231" width="1.33203125" style="563" customWidth="1"/>
    <col min="9232" max="9232" width="10" style="563" customWidth="1"/>
    <col min="9233" max="9233" width="1.33203125" style="563" customWidth="1"/>
    <col min="9234" max="9234" width="9.33203125" style="563" customWidth="1"/>
    <col min="9235" max="9235" width="1.33203125" style="563" customWidth="1"/>
    <col min="9236" max="9236" width="7.77734375" style="563" customWidth="1"/>
    <col min="9237" max="9237" width="1.33203125" style="563" customWidth="1"/>
    <col min="9238" max="9238" width="0.77734375" style="563" customWidth="1"/>
    <col min="9239" max="9239" width="9.33203125" style="563" customWidth="1"/>
    <col min="9240" max="9240" width="1.33203125" style="563" customWidth="1"/>
    <col min="9241" max="9241" width="0.88671875" style="563" customWidth="1"/>
    <col min="9242" max="9242" width="9.5546875" style="563" bestFit="1" customWidth="1"/>
    <col min="9243" max="9244" width="0.6640625" style="563" customWidth="1"/>
    <col min="9245" max="9245" width="9.6640625" style="563" customWidth="1"/>
    <col min="9246" max="9246" width="1.109375" style="563" customWidth="1"/>
    <col min="9247" max="9247" width="8.5546875" style="563" customWidth="1"/>
    <col min="9248" max="9248" width="14.5546875" style="563" customWidth="1"/>
    <col min="9249" max="9249" width="10" style="563" customWidth="1"/>
    <col min="9250" max="9250" width="7.77734375" style="563" bestFit="1" customWidth="1"/>
    <col min="9251" max="9251" width="9.88671875" style="563" customWidth="1"/>
    <col min="9252" max="9468" width="8.88671875" style="563"/>
    <col min="9469" max="9469" width="38.44140625" style="563" customWidth="1"/>
    <col min="9470" max="9470" width="8.5546875" style="563" customWidth="1"/>
    <col min="9471" max="9471" width="1.33203125" style="563" customWidth="1"/>
    <col min="9472" max="9472" width="8.88671875" style="563" customWidth="1"/>
    <col min="9473" max="9473" width="1.33203125" style="563" customWidth="1"/>
    <col min="9474" max="9474" width="9.33203125" style="563" customWidth="1"/>
    <col min="9475" max="9475" width="1.33203125" style="563" customWidth="1"/>
    <col min="9476" max="9476" width="10" style="563" customWidth="1"/>
    <col min="9477" max="9477" width="1.33203125" style="563" customWidth="1"/>
    <col min="9478" max="9478" width="9.109375" style="563" customWidth="1"/>
    <col min="9479" max="9479" width="1.33203125" style="563" customWidth="1"/>
    <col min="9480" max="9480" width="11.33203125" style="563" customWidth="1"/>
    <col min="9481" max="9481" width="1.33203125" style="563" customWidth="1"/>
    <col min="9482" max="9482" width="9.109375" style="563" customWidth="1"/>
    <col min="9483" max="9483" width="1.6640625" style="563" customWidth="1"/>
    <col min="9484" max="9484" width="11" style="563" customWidth="1"/>
    <col min="9485" max="9485" width="1.33203125" style="563" customWidth="1"/>
    <col min="9486" max="9486" width="10.77734375" style="563" customWidth="1"/>
    <col min="9487" max="9487" width="1.33203125" style="563" customWidth="1"/>
    <col min="9488" max="9488" width="10" style="563" customWidth="1"/>
    <col min="9489" max="9489" width="1.33203125" style="563" customWidth="1"/>
    <col min="9490" max="9490" width="9.33203125" style="563" customWidth="1"/>
    <col min="9491" max="9491" width="1.33203125" style="563" customWidth="1"/>
    <col min="9492" max="9492" width="7.77734375" style="563" customWidth="1"/>
    <col min="9493" max="9493" width="1.33203125" style="563" customWidth="1"/>
    <col min="9494" max="9494" width="0.77734375" style="563" customWidth="1"/>
    <col min="9495" max="9495" width="9.33203125" style="563" customWidth="1"/>
    <col min="9496" max="9496" width="1.33203125" style="563" customWidth="1"/>
    <col min="9497" max="9497" width="0.88671875" style="563" customWidth="1"/>
    <col min="9498" max="9498" width="9.5546875" style="563" bestFit="1" customWidth="1"/>
    <col min="9499" max="9500" width="0.6640625" style="563" customWidth="1"/>
    <col min="9501" max="9501" width="9.6640625" style="563" customWidth="1"/>
    <col min="9502" max="9502" width="1.109375" style="563" customWidth="1"/>
    <col min="9503" max="9503" width="8.5546875" style="563" customWidth="1"/>
    <col min="9504" max="9504" width="14.5546875" style="563" customWidth="1"/>
    <col min="9505" max="9505" width="10" style="563" customWidth="1"/>
    <col min="9506" max="9506" width="7.77734375" style="563" bestFit="1" customWidth="1"/>
    <col min="9507" max="9507" width="9.88671875" style="563" customWidth="1"/>
    <col min="9508" max="9724" width="8.88671875" style="563"/>
    <col min="9725" max="9725" width="38.44140625" style="563" customWidth="1"/>
    <col min="9726" max="9726" width="8.5546875" style="563" customWidth="1"/>
    <col min="9727" max="9727" width="1.33203125" style="563" customWidth="1"/>
    <col min="9728" max="9728" width="8.88671875" style="563" customWidth="1"/>
    <col min="9729" max="9729" width="1.33203125" style="563" customWidth="1"/>
    <col min="9730" max="9730" width="9.33203125" style="563" customWidth="1"/>
    <col min="9731" max="9731" width="1.33203125" style="563" customWidth="1"/>
    <col min="9732" max="9732" width="10" style="563" customWidth="1"/>
    <col min="9733" max="9733" width="1.33203125" style="563" customWidth="1"/>
    <col min="9734" max="9734" width="9.109375" style="563" customWidth="1"/>
    <col min="9735" max="9735" width="1.33203125" style="563" customWidth="1"/>
    <col min="9736" max="9736" width="11.33203125" style="563" customWidth="1"/>
    <col min="9737" max="9737" width="1.33203125" style="563" customWidth="1"/>
    <col min="9738" max="9738" width="9.109375" style="563" customWidth="1"/>
    <col min="9739" max="9739" width="1.6640625" style="563" customWidth="1"/>
    <col min="9740" max="9740" width="11" style="563" customWidth="1"/>
    <col min="9741" max="9741" width="1.33203125" style="563" customWidth="1"/>
    <col min="9742" max="9742" width="10.77734375" style="563" customWidth="1"/>
    <col min="9743" max="9743" width="1.33203125" style="563" customWidth="1"/>
    <col min="9744" max="9744" width="10" style="563" customWidth="1"/>
    <col min="9745" max="9745" width="1.33203125" style="563" customWidth="1"/>
    <col min="9746" max="9746" width="9.33203125" style="563" customWidth="1"/>
    <col min="9747" max="9747" width="1.33203125" style="563" customWidth="1"/>
    <col min="9748" max="9748" width="7.77734375" style="563" customWidth="1"/>
    <col min="9749" max="9749" width="1.33203125" style="563" customWidth="1"/>
    <col min="9750" max="9750" width="0.77734375" style="563" customWidth="1"/>
    <col min="9751" max="9751" width="9.33203125" style="563" customWidth="1"/>
    <col min="9752" max="9752" width="1.33203125" style="563" customWidth="1"/>
    <col min="9753" max="9753" width="0.88671875" style="563" customWidth="1"/>
    <col min="9754" max="9754" width="9.5546875" style="563" bestFit="1" customWidth="1"/>
    <col min="9755" max="9756" width="0.6640625" style="563" customWidth="1"/>
    <col min="9757" max="9757" width="9.6640625" style="563" customWidth="1"/>
    <col min="9758" max="9758" width="1.109375" style="563" customWidth="1"/>
    <col min="9759" max="9759" width="8.5546875" style="563" customWidth="1"/>
    <col min="9760" max="9760" width="14.5546875" style="563" customWidth="1"/>
    <col min="9761" max="9761" width="10" style="563" customWidth="1"/>
    <col min="9762" max="9762" width="7.77734375" style="563" bestFit="1" customWidth="1"/>
    <col min="9763" max="9763" width="9.88671875" style="563" customWidth="1"/>
    <col min="9764" max="9980" width="8.88671875" style="563"/>
    <col min="9981" max="9981" width="38.44140625" style="563" customWidth="1"/>
    <col min="9982" max="9982" width="8.5546875" style="563" customWidth="1"/>
    <col min="9983" max="9983" width="1.33203125" style="563" customWidth="1"/>
    <col min="9984" max="9984" width="8.88671875" style="563" customWidth="1"/>
    <col min="9985" max="9985" width="1.33203125" style="563" customWidth="1"/>
    <col min="9986" max="9986" width="9.33203125" style="563" customWidth="1"/>
    <col min="9987" max="9987" width="1.33203125" style="563" customWidth="1"/>
    <col min="9988" max="9988" width="10" style="563" customWidth="1"/>
    <col min="9989" max="9989" width="1.33203125" style="563" customWidth="1"/>
    <col min="9990" max="9990" width="9.109375" style="563" customWidth="1"/>
    <col min="9991" max="9991" width="1.33203125" style="563" customWidth="1"/>
    <col min="9992" max="9992" width="11.33203125" style="563" customWidth="1"/>
    <col min="9993" max="9993" width="1.33203125" style="563" customWidth="1"/>
    <col min="9994" max="9994" width="9.109375" style="563" customWidth="1"/>
    <col min="9995" max="9995" width="1.6640625" style="563" customWidth="1"/>
    <col min="9996" max="9996" width="11" style="563" customWidth="1"/>
    <col min="9997" max="9997" width="1.33203125" style="563" customWidth="1"/>
    <col min="9998" max="9998" width="10.77734375" style="563" customWidth="1"/>
    <col min="9999" max="9999" width="1.33203125" style="563" customWidth="1"/>
    <col min="10000" max="10000" width="10" style="563" customWidth="1"/>
    <col min="10001" max="10001" width="1.33203125" style="563" customWidth="1"/>
    <col min="10002" max="10002" width="9.33203125" style="563" customWidth="1"/>
    <col min="10003" max="10003" width="1.33203125" style="563" customWidth="1"/>
    <col min="10004" max="10004" width="7.77734375" style="563" customWidth="1"/>
    <col min="10005" max="10005" width="1.33203125" style="563" customWidth="1"/>
    <col min="10006" max="10006" width="0.77734375" style="563" customWidth="1"/>
    <col min="10007" max="10007" width="9.33203125" style="563" customWidth="1"/>
    <col min="10008" max="10008" width="1.33203125" style="563" customWidth="1"/>
    <col min="10009" max="10009" width="0.88671875" style="563" customWidth="1"/>
    <col min="10010" max="10010" width="9.5546875" style="563" bestFit="1" customWidth="1"/>
    <col min="10011" max="10012" width="0.6640625" style="563" customWidth="1"/>
    <col min="10013" max="10013" width="9.6640625" style="563" customWidth="1"/>
    <col min="10014" max="10014" width="1.109375" style="563" customWidth="1"/>
    <col min="10015" max="10015" width="8.5546875" style="563" customWidth="1"/>
    <col min="10016" max="10016" width="14.5546875" style="563" customWidth="1"/>
    <col min="10017" max="10017" width="10" style="563" customWidth="1"/>
    <col min="10018" max="10018" width="7.77734375" style="563" bestFit="1" customWidth="1"/>
    <col min="10019" max="10019" width="9.88671875" style="563" customWidth="1"/>
    <col min="10020" max="10236" width="8.88671875" style="563"/>
    <col min="10237" max="10237" width="38.44140625" style="563" customWidth="1"/>
    <col min="10238" max="10238" width="8.5546875" style="563" customWidth="1"/>
    <col min="10239" max="10239" width="1.33203125" style="563" customWidth="1"/>
    <col min="10240" max="10240" width="8.88671875" style="563" customWidth="1"/>
    <col min="10241" max="10241" width="1.33203125" style="563" customWidth="1"/>
    <col min="10242" max="10242" width="9.33203125" style="563" customWidth="1"/>
    <col min="10243" max="10243" width="1.33203125" style="563" customWidth="1"/>
    <col min="10244" max="10244" width="10" style="563" customWidth="1"/>
    <col min="10245" max="10245" width="1.33203125" style="563" customWidth="1"/>
    <col min="10246" max="10246" width="9.109375" style="563" customWidth="1"/>
    <col min="10247" max="10247" width="1.33203125" style="563" customWidth="1"/>
    <col min="10248" max="10248" width="11.33203125" style="563" customWidth="1"/>
    <col min="10249" max="10249" width="1.33203125" style="563" customWidth="1"/>
    <col min="10250" max="10250" width="9.109375" style="563" customWidth="1"/>
    <col min="10251" max="10251" width="1.6640625" style="563" customWidth="1"/>
    <col min="10252" max="10252" width="11" style="563" customWidth="1"/>
    <col min="10253" max="10253" width="1.33203125" style="563" customWidth="1"/>
    <col min="10254" max="10254" width="10.77734375" style="563" customWidth="1"/>
    <col min="10255" max="10255" width="1.33203125" style="563" customWidth="1"/>
    <col min="10256" max="10256" width="10" style="563" customWidth="1"/>
    <col min="10257" max="10257" width="1.33203125" style="563" customWidth="1"/>
    <col min="10258" max="10258" width="9.33203125" style="563" customWidth="1"/>
    <col min="10259" max="10259" width="1.33203125" style="563" customWidth="1"/>
    <col min="10260" max="10260" width="7.77734375" style="563" customWidth="1"/>
    <col min="10261" max="10261" width="1.33203125" style="563" customWidth="1"/>
    <col min="10262" max="10262" width="0.77734375" style="563" customWidth="1"/>
    <col min="10263" max="10263" width="9.33203125" style="563" customWidth="1"/>
    <col min="10264" max="10264" width="1.33203125" style="563" customWidth="1"/>
    <col min="10265" max="10265" width="0.88671875" style="563" customWidth="1"/>
    <col min="10266" max="10266" width="9.5546875" style="563" bestFit="1" customWidth="1"/>
    <col min="10267" max="10268" width="0.6640625" style="563" customWidth="1"/>
    <col min="10269" max="10269" width="9.6640625" style="563" customWidth="1"/>
    <col min="10270" max="10270" width="1.109375" style="563" customWidth="1"/>
    <col min="10271" max="10271" width="8.5546875" style="563" customWidth="1"/>
    <col min="10272" max="10272" width="14.5546875" style="563" customWidth="1"/>
    <col min="10273" max="10273" width="10" style="563" customWidth="1"/>
    <col min="10274" max="10274" width="7.77734375" style="563" bestFit="1" customWidth="1"/>
    <col min="10275" max="10275" width="9.88671875" style="563" customWidth="1"/>
    <col min="10276" max="10492" width="8.88671875" style="563"/>
    <col min="10493" max="10493" width="38.44140625" style="563" customWidth="1"/>
    <col min="10494" max="10494" width="8.5546875" style="563" customWidth="1"/>
    <col min="10495" max="10495" width="1.33203125" style="563" customWidth="1"/>
    <col min="10496" max="10496" width="8.88671875" style="563" customWidth="1"/>
    <col min="10497" max="10497" width="1.33203125" style="563" customWidth="1"/>
    <col min="10498" max="10498" width="9.33203125" style="563" customWidth="1"/>
    <col min="10499" max="10499" width="1.33203125" style="563" customWidth="1"/>
    <col min="10500" max="10500" width="10" style="563" customWidth="1"/>
    <col min="10501" max="10501" width="1.33203125" style="563" customWidth="1"/>
    <col min="10502" max="10502" width="9.109375" style="563" customWidth="1"/>
    <col min="10503" max="10503" width="1.33203125" style="563" customWidth="1"/>
    <col min="10504" max="10504" width="11.33203125" style="563" customWidth="1"/>
    <col min="10505" max="10505" width="1.33203125" style="563" customWidth="1"/>
    <col min="10506" max="10506" width="9.109375" style="563" customWidth="1"/>
    <col min="10507" max="10507" width="1.6640625" style="563" customWidth="1"/>
    <col min="10508" max="10508" width="11" style="563" customWidth="1"/>
    <col min="10509" max="10509" width="1.33203125" style="563" customWidth="1"/>
    <col min="10510" max="10510" width="10.77734375" style="563" customWidth="1"/>
    <col min="10511" max="10511" width="1.33203125" style="563" customWidth="1"/>
    <col min="10512" max="10512" width="10" style="563" customWidth="1"/>
    <col min="10513" max="10513" width="1.33203125" style="563" customWidth="1"/>
    <col min="10514" max="10514" width="9.33203125" style="563" customWidth="1"/>
    <col min="10515" max="10515" width="1.33203125" style="563" customWidth="1"/>
    <col min="10516" max="10516" width="7.77734375" style="563" customWidth="1"/>
    <col min="10517" max="10517" width="1.33203125" style="563" customWidth="1"/>
    <col min="10518" max="10518" width="0.77734375" style="563" customWidth="1"/>
    <col min="10519" max="10519" width="9.33203125" style="563" customWidth="1"/>
    <col min="10520" max="10520" width="1.33203125" style="563" customWidth="1"/>
    <col min="10521" max="10521" width="0.88671875" style="563" customWidth="1"/>
    <col min="10522" max="10522" width="9.5546875" style="563" bestFit="1" customWidth="1"/>
    <col min="10523" max="10524" width="0.6640625" style="563" customWidth="1"/>
    <col min="10525" max="10525" width="9.6640625" style="563" customWidth="1"/>
    <col min="10526" max="10526" width="1.109375" style="563" customWidth="1"/>
    <col min="10527" max="10527" width="8.5546875" style="563" customWidth="1"/>
    <col min="10528" max="10528" width="14.5546875" style="563" customWidth="1"/>
    <col min="10529" max="10529" width="10" style="563" customWidth="1"/>
    <col min="10530" max="10530" width="7.77734375" style="563" bestFit="1" customWidth="1"/>
    <col min="10531" max="10531" width="9.88671875" style="563" customWidth="1"/>
    <col min="10532" max="10748" width="8.88671875" style="563"/>
    <col min="10749" max="10749" width="38.44140625" style="563" customWidth="1"/>
    <col min="10750" max="10750" width="8.5546875" style="563" customWidth="1"/>
    <col min="10751" max="10751" width="1.33203125" style="563" customWidth="1"/>
    <col min="10752" max="10752" width="8.88671875" style="563" customWidth="1"/>
    <col min="10753" max="10753" width="1.33203125" style="563" customWidth="1"/>
    <col min="10754" max="10754" width="9.33203125" style="563" customWidth="1"/>
    <col min="10755" max="10755" width="1.33203125" style="563" customWidth="1"/>
    <col min="10756" max="10756" width="10" style="563" customWidth="1"/>
    <col min="10757" max="10757" width="1.33203125" style="563" customWidth="1"/>
    <col min="10758" max="10758" width="9.109375" style="563" customWidth="1"/>
    <col min="10759" max="10759" width="1.33203125" style="563" customWidth="1"/>
    <col min="10760" max="10760" width="11.33203125" style="563" customWidth="1"/>
    <col min="10761" max="10761" width="1.33203125" style="563" customWidth="1"/>
    <col min="10762" max="10762" width="9.109375" style="563" customWidth="1"/>
    <col min="10763" max="10763" width="1.6640625" style="563" customWidth="1"/>
    <col min="10764" max="10764" width="11" style="563" customWidth="1"/>
    <col min="10765" max="10765" width="1.33203125" style="563" customWidth="1"/>
    <col min="10766" max="10766" width="10.77734375" style="563" customWidth="1"/>
    <col min="10767" max="10767" width="1.33203125" style="563" customWidth="1"/>
    <col min="10768" max="10768" width="10" style="563" customWidth="1"/>
    <col min="10769" max="10769" width="1.33203125" style="563" customWidth="1"/>
    <col min="10770" max="10770" width="9.33203125" style="563" customWidth="1"/>
    <col min="10771" max="10771" width="1.33203125" style="563" customWidth="1"/>
    <col min="10772" max="10772" width="7.77734375" style="563" customWidth="1"/>
    <col min="10773" max="10773" width="1.33203125" style="563" customWidth="1"/>
    <col min="10774" max="10774" width="0.77734375" style="563" customWidth="1"/>
    <col min="10775" max="10775" width="9.33203125" style="563" customWidth="1"/>
    <col min="10776" max="10776" width="1.33203125" style="563" customWidth="1"/>
    <col min="10777" max="10777" width="0.88671875" style="563" customWidth="1"/>
    <col min="10778" max="10778" width="9.5546875" style="563" bestFit="1" customWidth="1"/>
    <col min="10779" max="10780" width="0.6640625" style="563" customWidth="1"/>
    <col min="10781" max="10781" width="9.6640625" style="563" customWidth="1"/>
    <col min="10782" max="10782" width="1.109375" style="563" customWidth="1"/>
    <col min="10783" max="10783" width="8.5546875" style="563" customWidth="1"/>
    <col min="10784" max="10784" width="14.5546875" style="563" customWidth="1"/>
    <col min="10785" max="10785" width="10" style="563" customWidth="1"/>
    <col min="10786" max="10786" width="7.77734375" style="563" bestFit="1" customWidth="1"/>
    <col min="10787" max="10787" width="9.88671875" style="563" customWidth="1"/>
    <col min="10788" max="11004" width="8.88671875" style="563"/>
    <col min="11005" max="11005" width="38.44140625" style="563" customWidth="1"/>
    <col min="11006" max="11006" width="8.5546875" style="563" customWidth="1"/>
    <col min="11007" max="11007" width="1.33203125" style="563" customWidth="1"/>
    <col min="11008" max="11008" width="8.88671875" style="563" customWidth="1"/>
    <col min="11009" max="11009" width="1.33203125" style="563" customWidth="1"/>
    <col min="11010" max="11010" width="9.33203125" style="563" customWidth="1"/>
    <col min="11011" max="11011" width="1.33203125" style="563" customWidth="1"/>
    <col min="11012" max="11012" width="10" style="563" customWidth="1"/>
    <col min="11013" max="11013" width="1.33203125" style="563" customWidth="1"/>
    <col min="11014" max="11014" width="9.109375" style="563" customWidth="1"/>
    <col min="11015" max="11015" width="1.33203125" style="563" customWidth="1"/>
    <col min="11016" max="11016" width="11.33203125" style="563" customWidth="1"/>
    <col min="11017" max="11017" width="1.33203125" style="563" customWidth="1"/>
    <col min="11018" max="11018" width="9.109375" style="563" customWidth="1"/>
    <col min="11019" max="11019" width="1.6640625" style="563" customWidth="1"/>
    <col min="11020" max="11020" width="11" style="563" customWidth="1"/>
    <col min="11021" max="11021" width="1.33203125" style="563" customWidth="1"/>
    <col min="11022" max="11022" width="10.77734375" style="563" customWidth="1"/>
    <col min="11023" max="11023" width="1.33203125" style="563" customWidth="1"/>
    <col min="11024" max="11024" width="10" style="563" customWidth="1"/>
    <col min="11025" max="11025" width="1.33203125" style="563" customWidth="1"/>
    <col min="11026" max="11026" width="9.33203125" style="563" customWidth="1"/>
    <col min="11027" max="11027" width="1.33203125" style="563" customWidth="1"/>
    <col min="11028" max="11028" width="7.77734375" style="563" customWidth="1"/>
    <col min="11029" max="11029" width="1.33203125" style="563" customWidth="1"/>
    <col min="11030" max="11030" width="0.77734375" style="563" customWidth="1"/>
    <col min="11031" max="11031" width="9.33203125" style="563" customWidth="1"/>
    <col min="11032" max="11032" width="1.33203125" style="563" customWidth="1"/>
    <col min="11033" max="11033" width="0.88671875" style="563" customWidth="1"/>
    <col min="11034" max="11034" width="9.5546875" style="563" bestFit="1" customWidth="1"/>
    <col min="11035" max="11036" width="0.6640625" style="563" customWidth="1"/>
    <col min="11037" max="11037" width="9.6640625" style="563" customWidth="1"/>
    <col min="11038" max="11038" width="1.109375" style="563" customWidth="1"/>
    <col min="11039" max="11039" width="8.5546875" style="563" customWidth="1"/>
    <col min="11040" max="11040" width="14.5546875" style="563" customWidth="1"/>
    <col min="11041" max="11041" width="10" style="563" customWidth="1"/>
    <col min="11042" max="11042" width="7.77734375" style="563" bestFit="1" customWidth="1"/>
    <col min="11043" max="11043" width="9.88671875" style="563" customWidth="1"/>
    <col min="11044" max="11260" width="8.88671875" style="563"/>
    <col min="11261" max="11261" width="38.44140625" style="563" customWidth="1"/>
    <col min="11262" max="11262" width="8.5546875" style="563" customWidth="1"/>
    <col min="11263" max="11263" width="1.33203125" style="563" customWidth="1"/>
    <col min="11264" max="11264" width="8.88671875" style="563" customWidth="1"/>
    <col min="11265" max="11265" width="1.33203125" style="563" customWidth="1"/>
    <col min="11266" max="11266" width="9.33203125" style="563" customWidth="1"/>
    <col min="11267" max="11267" width="1.33203125" style="563" customWidth="1"/>
    <col min="11268" max="11268" width="10" style="563" customWidth="1"/>
    <col min="11269" max="11269" width="1.33203125" style="563" customWidth="1"/>
    <col min="11270" max="11270" width="9.109375" style="563" customWidth="1"/>
    <col min="11271" max="11271" width="1.33203125" style="563" customWidth="1"/>
    <col min="11272" max="11272" width="11.33203125" style="563" customWidth="1"/>
    <col min="11273" max="11273" width="1.33203125" style="563" customWidth="1"/>
    <col min="11274" max="11274" width="9.109375" style="563" customWidth="1"/>
    <col min="11275" max="11275" width="1.6640625" style="563" customWidth="1"/>
    <col min="11276" max="11276" width="11" style="563" customWidth="1"/>
    <col min="11277" max="11277" width="1.33203125" style="563" customWidth="1"/>
    <col min="11278" max="11278" width="10.77734375" style="563" customWidth="1"/>
    <col min="11279" max="11279" width="1.33203125" style="563" customWidth="1"/>
    <col min="11280" max="11280" width="10" style="563" customWidth="1"/>
    <col min="11281" max="11281" width="1.33203125" style="563" customWidth="1"/>
    <col min="11282" max="11282" width="9.33203125" style="563" customWidth="1"/>
    <col min="11283" max="11283" width="1.33203125" style="563" customWidth="1"/>
    <col min="11284" max="11284" width="7.77734375" style="563" customWidth="1"/>
    <col min="11285" max="11285" width="1.33203125" style="563" customWidth="1"/>
    <col min="11286" max="11286" width="0.77734375" style="563" customWidth="1"/>
    <col min="11287" max="11287" width="9.33203125" style="563" customWidth="1"/>
    <col min="11288" max="11288" width="1.33203125" style="563" customWidth="1"/>
    <col min="11289" max="11289" width="0.88671875" style="563" customWidth="1"/>
    <col min="11290" max="11290" width="9.5546875" style="563" bestFit="1" customWidth="1"/>
    <col min="11291" max="11292" width="0.6640625" style="563" customWidth="1"/>
    <col min="11293" max="11293" width="9.6640625" style="563" customWidth="1"/>
    <col min="11294" max="11294" width="1.109375" style="563" customWidth="1"/>
    <col min="11295" max="11295" width="8.5546875" style="563" customWidth="1"/>
    <col min="11296" max="11296" width="14.5546875" style="563" customWidth="1"/>
    <col min="11297" max="11297" width="10" style="563" customWidth="1"/>
    <col min="11298" max="11298" width="7.77734375" style="563" bestFit="1" customWidth="1"/>
    <col min="11299" max="11299" width="9.88671875" style="563" customWidth="1"/>
    <col min="11300" max="11516" width="8.88671875" style="563"/>
    <col min="11517" max="11517" width="38.44140625" style="563" customWidth="1"/>
    <col min="11518" max="11518" width="8.5546875" style="563" customWidth="1"/>
    <col min="11519" max="11519" width="1.33203125" style="563" customWidth="1"/>
    <col min="11520" max="11520" width="8.88671875" style="563" customWidth="1"/>
    <col min="11521" max="11521" width="1.33203125" style="563" customWidth="1"/>
    <col min="11522" max="11522" width="9.33203125" style="563" customWidth="1"/>
    <col min="11523" max="11523" width="1.33203125" style="563" customWidth="1"/>
    <col min="11524" max="11524" width="10" style="563" customWidth="1"/>
    <col min="11525" max="11525" width="1.33203125" style="563" customWidth="1"/>
    <col min="11526" max="11526" width="9.109375" style="563" customWidth="1"/>
    <col min="11527" max="11527" width="1.33203125" style="563" customWidth="1"/>
    <col min="11528" max="11528" width="11.33203125" style="563" customWidth="1"/>
    <col min="11529" max="11529" width="1.33203125" style="563" customWidth="1"/>
    <col min="11530" max="11530" width="9.109375" style="563" customWidth="1"/>
    <col min="11531" max="11531" width="1.6640625" style="563" customWidth="1"/>
    <col min="11532" max="11532" width="11" style="563" customWidth="1"/>
    <col min="11533" max="11533" width="1.33203125" style="563" customWidth="1"/>
    <col min="11534" max="11534" width="10.77734375" style="563" customWidth="1"/>
    <col min="11535" max="11535" width="1.33203125" style="563" customWidth="1"/>
    <col min="11536" max="11536" width="10" style="563" customWidth="1"/>
    <col min="11537" max="11537" width="1.33203125" style="563" customWidth="1"/>
    <col min="11538" max="11538" width="9.33203125" style="563" customWidth="1"/>
    <col min="11539" max="11539" width="1.33203125" style="563" customWidth="1"/>
    <col min="11540" max="11540" width="7.77734375" style="563" customWidth="1"/>
    <col min="11541" max="11541" width="1.33203125" style="563" customWidth="1"/>
    <col min="11542" max="11542" width="0.77734375" style="563" customWidth="1"/>
    <col min="11543" max="11543" width="9.33203125" style="563" customWidth="1"/>
    <col min="11544" max="11544" width="1.33203125" style="563" customWidth="1"/>
    <col min="11545" max="11545" width="0.88671875" style="563" customWidth="1"/>
    <col min="11546" max="11546" width="9.5546875" style="563" bestFit="1" customWidth="1"/>
    <col min="11547" max="11548" width="0.6640625" style="563" customWidth="1"/>
    <col min="11549" max="11549" width="9.6640625" style="563" customWidth="1"/>
    <col min="11550" max="11550" width="1.109375" style="563" customWidth="1"/>
    <col min="11551" max="11551" width="8.5546875" style="563" customWidth="1"/>
    <col min="11552" max="11552" width="14.5546875" style="563" customWidth="1"/>
    <col min="11553" max="11553" width="10" style="563" customWidth="1"/>
    <col min="11554" max="11554" width="7.77734375" style="563" bestFit="1" customWidth="1"/>
    <col min="11555" max="11555" width="9.88671875" style="563" customWidth="1"/>
    <col min="11556" max="11772" width="8.88671875" style="563"/>
    <col min="11773" max="11773" width="38.44140625" style="563" customWidth="1"/>
    <col min="11774" max="11774" width="8.5546875" style="563" customWidth="1"/>
    <col min="11775" max="11775" width="1.33203125" style="563" customWidth="1"/>
    <col min="11776" max="11776" width="8.88671875" style="563" customWidth="1"/>
    <col min="11777" max="11777" width="1.33203125" style="563" customWidth="1"/>
    <col min="11778" max="11778" width="9.33203125" style="563" customWidth="1"/>
    <col min="11779" max="11779" width="1.33203125" style="563" customWidth="1"/>
    <col min="11780" max="11780" width="10" style="563" customWidth="1"/>
    <col min="11781" max="11781" width="1.33203125" style="563" customWidth="1"/>
    <col min="11782" max="11782" width="9.109375" style="563" customWidth="1"/>
    <col min="11783" max="11783" width="1.33203125" style="563" customWidth="1"/>
    <col min="11784" max="11784" width="11.33203125" style="563" customWidth="1"/>
    <col min="11785" max="11785" width="1.33203125" style="563" customWidth="1"/>
    <col min="11786" max="11786" width="9.109375" style="563" customWidth="1"/>
    <col min="11787" max="11787" width="1.6640625" style="563" customWidth="1"/>
    <col min="11788" max="11788" width="11" style="563" customWidth="1"/>
    <col min="11789" max="11789" width="1.33203125" style="563" customWidth="1"/>
    <col min="11790" max="11790" width="10.77734375" style="563" customWidth="1"/>
    <col min="11791" max="11791" width="1.33203125" style="563" customWidth="1"/>
    <col min="11792" max="11792" width="10" style="563" customWidth="1"/>
    <col min="11793" max="11793" width="1.33203125" style="563" customWidth="1"/>
    <col min="11794" max="11794" width="9.33203125" style="563" customWidth="1"/>
    <col min="11795" max="11795" width="1.33203125" style="563" customWidth="1"/>
    <col min="11796" max="11796" width="7.77734375" style="563" customWidth="1"/>
    <col min="11797" max="11797" width="1.33203125" style="563" customWidth="1"/>
    <col min="11798" max="11798" width="0.77734375" style="563" customWidth="1"/>
    <col min="11799" max="11799" width="9.33203125" style="563" customWidth="1"/>
    <col min="11800" max="11800" width="1.33203125" style="563" customWidth="1"/>
    <col min="11801" max="11801" width="0.88671875" style="563" customWidth="1"/>
    <col min="11802" max="11802" width="9.5546875" style="563" bestFit="1" customWidth="1"/>
    <col min="11803" max="11804" width="0.6640625" style="563" customWidth="1"/>
    <col min="11805" max="11805" width="9.6640625" style="563" customWidth="1"/>
    <col min="11806" max="11806" width="1.109375" style="563" customWidth="1"/>
    <col min="11807" max="11807" width="8.5546875" style="563" customWidth="1"/>
    <col min="11808" max="11808" width="14.5546875" style="563" customWidth="1"/>
    <col min="11809" max="11809" width="10" style="563" customWidth="1"/>
    <col min="11810" max="11810" width="7.77734375" style="563" bestFit="1" customWidth="1"/>
    <col min="11811" max="11811" width="9.88671875" style="563" customWidth="1"/>
    <col min="11812" max="12028" width="8.88671875" style="563"/>
    <col min="12029" max="12029" width="38.44140625" style="563" customWidth="1"/>
    <col min="12030" max="12030" width="8.5546875" style="563" customWidth="1"/>
    <col min="12031" max="12031" width="1.33203125" style="563" customWidth="1"/>
    <col min="12032" max="12032" width="8.88671875" style="563" customWidth="1"/>
    <col min="12033" max="12033" width="1.33203125" style="563" customWidth="1"/>
    <col min="12034" max="12034" width="9.33203125" style="563" customWidth="1"/>
    <col min="12035" max="12035" width="1.33203125" style="563" customWidth="1"/>
    <col min="12036" max="12036" width="10" style="563" customWidth="1"/>
    <col min="12037" max="12037" width="1.33203125" style="563" customWidth="1"/>
    <col min="12038" max="12038" width="9.109375" style="563" customWidth="1"/>
    <col min="12039" max="12039" width="1.33203125" style="563" customWidth="1"/>
    <col min="12040" max="12040" width="11.33203125" style="563" customWidth="1"/>
    <col min="12041" max="12041" width="1.33203125" style="563" customWidth="1"/>
    <col min="12042" max="12042" width="9.109375" style="563" customWidth="1"/>
    <col min="12043" max="12043" width="1.6640625" style="563" customWidth="1"/>
    <col min="12044" max="12044" width="11" style="563" customWidth="1"/>
    <col min="12045" max="12045" width="1.33203125" style="563" customWidth="1"/>
    <col min="12046" max="12046" width="10.77734375" style="563" customWidth="1"/>
    <col min="12047" max="12047" width="1.33203125" style="563" customWidth="1"/>
    <col min="12048" max="12048" width="10" style="563" customWidth="1"/>
    <col min="12049" max="12049" width="1.33203125" style="563" customWidth="1"/>
    <col min="12050" max="12050" width="9.33203125" style="563" customWidth="1"/>
    <col min="12051" max="12051" width="1.33203125" style="563" customWidth="1"/>
    <col min="12052" max="12052" width="7.77734375" style="563" customWidth="1"/>
    <col min="12053" max="12053" width="1.33203125" style="563" customWidth="1"/>
    <col min="12054" max="12054" width="0.77734375" style="563" customWidth="1"/>
    <col min="12055" max="12055" width="9.33203125" style="563" customWidth="1"/>
    <col min="12056" max="12056" width="1.33203125" style="563" customWidth="1"/>
    <col min="12057" max="12057" width="0.88671875" style="563" customWidth="1"/>
    <col min="12058" max="12058" width="9.5546875" style="563" bestFit="1" customWidth="1"/>
    <col min="12059" max="12060" width="0.6640625" style="563" customWidth="1"/>
    <col min="12061" max="12061" width="9.6640625" style="563" customWidth="1"/>
    <col min="12062" max="12062" width="1.109375" style="563" customWidth="1"/>
    <col min="12063" max="12063" width="8.5546875" style="563" customWidth="1"/>
    <col min="12064" max="12064" width="14.5546875" style="563" customWidth="1"/>
    <col min="12065" max="12065" width="10" style="563" customWidth="1"/>
    <col min="12066" max="12066" width="7.77734375" style="563" bestFit="1" customWidth="1"/>
    <col min="12067" max="12067" width="9.88671875" style="563" customWidth="1"/>
    <col min="12068" max="12284" width="8.88671875" style="563"/>
    <col min="12285" max="12285" width="38.44140625" style="563" customWidth="1"/>
    <col min="12286" max="12286" width="8.5546875" style="563" customWidth="1"/>
    <col min="12287" max="12287" width="1.33203125" style="563" customWidth="1"/>
    <col min="12288" max="12288" width="8.88671875" style="563" customWidth="1"/>
    <col min="12289" max="12289" width="1.33203125" style="563" customWidth="1"/>
    <col min="12290" max="12290" width="9.33203125" style="563" customWidth="1"/>
    <col min="12291" max="12291" width="1.33203125" style="563" customWidth="1"/>
    <col min="12292" max="12292" width="10" style="563" customWidth="1"/>
    <col min="12293" max="12293" width="1.33203125" style="563" customWidth="1"/>
    <col min="12294" max="12294" width="9.109375" style="563" customWidth="1"/>
    <col min="12295" max="12295" width="1.33203125" style="563" customWidth="1"/>
    <col min="12296" max="12296" width="11.33203125" style="563" customWidth="1"/>
    <col min="12297" max="12297" width="1.33203125" style="563" customWidth="1"/>
    <col min="12298" max="12298" width="9.109375" style="563" customWidth="1"/>
    <col min="12299" max="12299" width="1.6640625" style="563" customWidth="1"/>
    <col min="12300" max="12300" width="11" style="563" customWidth="1"/>
    <col min="12301" max="12301" width="1.33203125" style="563" customWidth="1"/>
    <col min="12302" max="12302" width="10.77734375" style="563" customWidth="1"/>
    <col min="12303" max="12303" width="1.33203125" style="563" customWidth="1"/>
    <col min="12304" max="12304" width="10" style="563" customWidth="1"/>
    <col min="12305" max="12305" width="1.33203125" style="563" customWidth="1"/>
    <col min="12306" max="12306" width="9.33203125" style="563" customWidth="1"/>
    <col min="12307" max="12307" width="1.33203125" style="563" customWidth="1"/>
    <col min="12308" max="12308" width="7.77734375" style="563" customWidth="1"/>
    <col min="12309" max="12309" width="1.33203125" style="563" customWidth="1"/>
    <col min="12310" max="12310" width="0.77734375" style="563" customWidth="1"/>
    <col min="12311" max="12311" width="9.33203125" style="563" customWidth="1"/>
    <col min="12312" max="12312" width="1.33203125" style="563" customWidth="1"/>
    <col min="12313" max="12313" width="0.88671875" style="563" customWidth="1"/>
    <col min="12314" max="12314" width="9.5546875" style="563" bestFit="1" customWidth="1"/>
    <col min="12315" max="12316" width="0.6640625" style="563" customWidth="1"/>
    <col min="12317" max="12317" width="9.6640625" style="563" customWidth="1"/>
    <col min="12318" max="12318" width="1.109375" style="563" customWidth="1"/>
    <col min="12319" max="12319" width="8.5546875" style="563" customWidth="1"/>
    <col min="12320" max="12320" width="14.5546875" style="563" customWidth="1"/>
    <col min="12321" max="12321" width="10" style="563" customWidth="1"/>
    <col min="12322" max="12322" width="7.77734375" style="563" bestFit="1" customWidth="1"/>
    <col min="12323" max="12323" width="9.88671875" style="563" customWidth="1"/>
    <col min="12324" max="12540" width="8.88671875" style="563"/>
    <col min="12541" max="12541" width="38.44140625" style="563" customWidth="1"/>
    <col min="12542" max="12542" width="8.5546875" style="563" customWidth="1"/>
    <col min="12543" max="12543" width="1.33203125" style="563" customWidth="1"/>
    <col min="12544" max="12544" width="8.88671875" style="563" customWidth="1"/>
    <col min="12545" max="12545" width="1.33203125" style="563" customWidth="1"/>
    <col min="12546" max="12546" width="9.33203125" style="563" customWidth="1"/>
    <col min="12547" max="12547" width="1.33203125" style="563" customWidth="1"/>
    <col min="12548" max="12548" width="10" style="563" customWidth="1"/>
    <col min="12549" max="12549" width="1.33203125" style="563" customWidth="1"/>
    <col min="12550" max="12550" width="9.109375" style="563" customWidth="1"/>
    <col min="12551" max="12551" width="1.33203125" style="563" customWidth="1"/>
    <col min="12552" max="12552" width="11.33203125" style="563" customWidth="1"/>
    <col min="12553" max="12553" width="1.33203125" style="563" customWidth="1"/>
    <col min="12554" max="12554" width="9.109375" style="563" customWidth="1"/>
    <col min="12555" max="12555" width="1.6640625" style="563" customWidth="1"/>
    <col min="12556" max="12556" width="11" style="563" customWidth="1"/>
    <col min="12557" max="12557" width="1.33203125" style="563" customWidth="1"/>
    <col min="12558" max="12558" width="10.77734375" style="563" customWidth="1"/>
    <col min="12559" max="12559" width="1.33203125" style="563" customWidth="1"/>
    <col min="12560" max="12560" width="10" style="563" customWidth="1"/>
    <col min="12561" max="12561" width="1.33203125" style="563" customWidth="1"/>
    <col min="12562" max="12562" width="9.33203125" style="563" customWidth="1"/>
    <col min="12563" max="12563" width="1.33203125" style="563" customWidth="1"/>
    <col min="12564" max="12564" width="7.77734375" style="563" customWidth="1"/>
    <col min="12565" max="12565" width="1.33203125" style="563" customWidth="1"/>
    <col min="12566" max="12566" width="0.77734375" style="563" customWidth="1"/>
    <col min="12567" max="12567" width="9.33203125" style="563" customWidth="1"/>
    <col min="12568" max="12568" width="1.33203125" style="563" customWidth="1"/>
    <col min="12569" max="12569" width="0.88671875" style="563" customWidth="1"/>
    <col min="12570" max="12570" width="9.5546875" style="563" bestFit="1" customWidth="1"/>
    <col min="12571" max="12572" width="0.6640625" style="563" customWidth="1"/>
    <col min="12573" max="12573" width="9.6640625" style="563" customWidth="1"/>
    <col min="12574" max="12574" width="1.109375" style="563" customWidth="1"/>
    <col min="12575" max="12575" width="8.5546875" style="563" customWidth="1"/>
    <col min="12576" max="12576" width="14.5546875" style="563" customWidth="1"/>
    <col min="12577" max="12577" width="10" style="563" customWidth="1"/>
    <col min="12578" max="12578" width="7.77734375" style="563" bestFit="1" customWidth="1"/>
    <col min="12579" max="12579" width="9.88671875" style="563" customWidth="1"/>
    <col min="12580" max="12796" width="8.88671875" style="563"/>
    <col min="12797" max="12797" width="38.44140625" style="563" customWidth="1"/>
    <col min="12798" max="12798" width="8.5546875" style="563" customWidth="1"/>
    <col min="12799" max="12799" width="1.33203125" style="563" customWidth="1"/>
    <col min="12800" max="12800" width="8.88671875" style="563" customWidth="1"/>
    <col min="12801" max="12801" width="1.33203125" style="563" customWidth="1"/>
    <col min="12802" max="12802" width="9.33203125" style="563" customWidth="1"/>
    <col min="12803" max="12803" width="1.33203125" style="563" customWidth="1"/>
    <col min="12804" max="12804" width="10" style="563" customWidth="1"/>
    <col min="12805" max="12805" width="1.33203125" style="563" customWidth="1"/>
    <col min="12806" max="12806" width="9.109375" style="563" customWidth="1"/>
    <col min="12807" max="12807" width="1.33203125" style="563" customWidth="1"/>
    <col min="12808" max="12808" width="11.33203125" style="563" customWidth="1"/>
    <col min="12809" max="12809" width="1.33203125" style="563" customWidth="1"/>
    <col min="12810" max="12810" width="9.109375" style="563" customWidth="1"/>
    <col min="12811" max="12811" width="1.6640625" style="563" customWidth="1"/>
    <col min="12812" max="12812" width="11" style="563" customWidth="1"/>
    <col min="12813" max="12813" width="1.33203125" style="563" customWidth="1"/>
    <col min="12814" max="12814" width="10.77734375" style="563" customWidth="1"/>
    <col min="12815" max="12815" width="1.33203125" style="563" customWidth="1"/>
    <col min="12816" max="12816" width="10" style="563" customWidth="1"/>
    <col min="12817" max="12817" width="1.33203125" style="563" customWidth="1"/>
    <col min="12818" max="12818" width="9.33203125" style="563" customWidth="1"/>
    <col min="12819" max="12819" width="1.33203125" style="563" customWidth="1"/>
    <col min="12820" max="12820" width="7.77734375" style="563" customWidth="1"/>
    <col min="12821" max="12821" width="1.33203125" style="563" customWidth="1"/>
    <col min="12822" max="12822" width="0.77734375" style="563" customWidth="1"/>
    <col min="12823" max="12823" width="9.33203125" style="563" customWidth="1"/>
    <col min="12824" max="12824" width="1.33203125" style="563" customWidth="1"/>
    <col min="12825" max="12825" width="0.88671875" style="563" customWidth="1"/>
    <col min="12826" max="12826" width="9.5546875" style="563" bestFit="1" customWidth="1"/>
    <col min="12827" max="12828" width="0.6640625" style="563" customWidth="1"/>
    <col min="12829" max="12829" width="9.6640625" style="563" customWidth="1"/>
    <col min="12830" max="12830" width="1.109375" style="563" customWidth="1"/>
    <col min="12831" max="12831" width="8.5546875" style="563" customWidth="1"/>
    <col min="12832" max="12832" width="14.5546875" style="563" customWidth="1"/>
    <col min="12833" max="12833" width="10" style="563" customWidth="1"/>
    <col min="12834" max="12834" width="7.77734375" style="563" bestFit="1" customWidth="1"/>
    <col min="12835" max="12835" width="9.88671875" style="563" customWidth="1"/>
    <col min="12836" max="13052" width="8.88671875" style="563"/>
    <col min="13053" max="13053" width="38.44140625" style="563" customWidth="1"/>
    <col min="13054" max="13054" width="8.5546875" style="563" customWidth="1"/>
    <col min="13055" max="13055" width="1.33203125" style="563" customWidth="1"/>
    <col min="13056" max="13056" width="8.88671875" style="563" customWidth="1"/>
    <col min="13057" max="13057" width="1.33203125" style="563" customWidth="1"/>
    <col min="13058" max="13058" width="9.33203125" style="563" customWidth="1"/>
    <col min="13059" max="13059" width="1.33203125" style="563" customWidth="1"/>
    <col min="13060" max="13060" width="10" style="563" customWidth="1"/>
    <col min="13061" max="13061" width="1.33203125" style="563" customWidth="1"/>
    <col min="13062" max="13062" width="9.109375" style="563" customWidth="1"/>
    <col min="13063" max="13063" width="1.33203125" style="563" customWidth="1"/>
    <col min="13064" max="13064" width="11.33203125" style="563" customWidth="1"/>
    <col min="13065" max="13065" width="1.33203125" style="563" customWidth="1"/>
    <col min="13066" max="13066" width="9.109375" style="563" customWidth="1"/>
    <col min="13067" max="13067" width="1.6640625" style="563" customWidth="1"/>
    <col min="13068" max="13068" width="11" style="563" customWidth="1"/>
    <col min="13069" max="13069" width="1.33203125" style="563" customWidth="1"/>
    <col min="13070" max="13070" width="10.77734375" style="563" customWidth="1"/>
    <col min="13071" max="13071" width="1.33203125" style="563" customWidth="1"/>
    <col min="13072" max="13072" width="10" style="563" customWidth="1"/>
    <col min="13073" max="13073" width="1.33203125" style="563" customWidth="1"/>
    <col min="13074" max="13074" width="9.33203125" style="563" customWidth="1"/>
    <col min="13075" max="13075" width="1.33203125" style="563" customWidth="1"/>
    <col min="13076" max="13076" width="7.77734375" style="563" customWidth="1"/>
    <col min="13077" max="13077" width="1.33203125" style="563" customWidth="1"/>
    <col min="13078" max="13078" width="0.77734375" style="563" customWidth="1"/>
    <col min="13079" max="13079" width="9.33203125" style="563" customWidth="1"/>
    <col min="13080" max="13080" width="1.33203125" style="563" customWidth="1"/>
    <col min="13081" max="13081" width="0.88671875" style="563" customWidth="1"/>
    <col min="13082" max="13082" width="9.5546875" style="563" bestFit="1" customWidth="1"/>
    <col min="13083" max="13084" width="0.6640625" style="563" customWidth="1"/>
    <col min="13085" max="13085" width="9.6640625" style="563" customWidth="1"/>
    <col min="13086" max="13086" width="1.109375" style="563" customWidth="1"/>
    <col min="13087" max="13087" width="8.5546875" style="563" customWidth="1"/>
    <col min="13088" max="13088" width="14.5546875" style="563" customWidth="1"/>
    <col min="13089" max="13089" width="10" style="563" customWidth="1"/>
    <col min="13090" max="13090" width="7.77734375" style="563" bestFit="1" customWidth="1"/>
    <col min="13091" max="13091" width="9.88671875" style="563" customWidth="1"/>
    <col min="13092" max="13308" width="8.88671875" style="563"/>
    <col min="13309" max="13309" width="38.44140625" style="563" customWidth="1"/>
    <col min="13310" max="13310" width="8.5546875" style="563" customWidth="1"/>
    <col min="13311" max="13311" width="1.33203125" style="563" customWidth="1"/>
    <col min="13312" max="13312" width="8.88671875" style="563" customWidth="1"/>
    <col min="13313" max="13313" width="1.33203125" style="563" customWidth="1"/>
    <col min="13314" max="13314" width="9.33203125" style="563" customWidth="1"/>
    <col min="13315" max="13315" width="1.33203125" style="563" customWidth="1"/>
    <col min="13316" max="13316" width="10" style="563" customWidth="1"/>
    <col min="13317" max="13317" width="1.33203125" style="563" customWidth="1"/>
    <col min="13318" max="13318" width="9.109375" style="563" customWidth="1"/>
    <col min="13319" max="13319" width="1.33203125" style="563" customWidth="1"/>
    <col min="13320" max="13320" width="11.33203125" style="563" customWidth="1"/>
    <col min="13321" max="13321" width="1.33203125" style="563" customWidth="1"/>
    <col min="13322" max="13322" width="9.109375" style="563" customWidth="1"/>
    <col min="13323" max="13323" width="1.6640625" style="563" customWidth="1"/>
    <col min="13324" max="13324" width="11" style="563" customWidth="1"/>
    <col min="13325" max="13325" width="1.33203125" style="563" customWidth="1"/>
    <col min="13326" max="13326" width="10.77734375" style="563" customWidth="1"/>
    <col min="13327" max="13327" width="1.33203125" style="563" customWidth="1"/>
    <col min="13328" max="13328" width="10" style="563" customWidth="1"/>
    <col min="13329" max="13329" width="1.33203125" style="563" customWidth="1"/>
    <col min="13330" max="13330" width="9.33203125" style="563" customWidth="1"/>
    <col min="13331" max="13331" width="1.33203125" style="563" customWidth="1"/>
    <col min="13332" max="13332" width="7.77734375" style="563" customWidth="1"/>
    <col min="13333" max="13333" width="1.33203125" style="563" customWidth="1"/>
    <col min="13334" max="13334" width="0.77734375" style="563" customWidth="1"/>
    <col min="13335" max="13335" width="9.33203125" style="563" customWidth="1"/>
    <col min="13336" max="13336" width="1.33203125" style="563" customWidth="1"/>
    <col min="13337" max="13337" width="0.88671875" style="563" customWidth="1"/>
    <col min="13338" max="13338" width="9.5546875" style="563" bestFit="1" customWidth="1"/>
    <col min="13339" max="13340" width="0.6640625" style="563" customWidth="1"/>
    <col min="13341" max="13341" width="9.6640625" style="563" customWidth="1"/>
    <col min="13342" max="13342" width="1.109375" style="563" customWidth="1"/>
    <col min="13343" max="13343" width="8.5546875" style="563" customWidth="1"/>
    <col min="13344" max="13344" width="14.5546875" style="563" customWidth="1"/>
    <col min="13345" max="13345" width="10" style="563" customWidth="1"/>
    <col min="13346" max="13346" width="7.77734375" style="563" bestFit="1" customWidth="1"/>
    <col min="13347" max="13347" width="9.88671875" style="563" customWidth="1"/>
    <col min="13348" max="13564" width="8.88671875" style="563"/>
    <col min="13565" max="13565" width="38.44140625" style="563" customWidth="1"/>
    <col min="13566" max="13566" width="8.5546875" style="563" customWidth="1"/>
    <col min="13567" max="13567" width="1.33203125" style="563" customWidth="1"/>
    <col min="13568" max="13568" width="8.88671875" style="563" customWidth="1"/>
    <col min="13569" max="13569" width="1.33203125" style="563" customWidth="1"/>
    <col min="13570" max="13570" width="9.33203125" style="563" customWidth="1"/>
    <col min="13571" max="13571" width="1.33203125" style="563" customWidth="1"/>
    <col min="13572" max="13572" width="10" style="563" customWidth="1"/>
    <col min="13573" max="13573" width="1.33203125" style="563" customWidth="1"/>
    <col min="13574" max="13574" width="9.109375" style="563" customWidth="1"/>
    <col min="13575" max="13575" width="1.33203125" style="563" customWidth="1"/>
    <col min="13576" max="13576" width="11.33203125" style="563" customWidth="1"/>
    <col min="13577" max="13577" width="1.33203125" style="563" customWidth="1"/>
    <col min="13578" max="13578" width="9.109375" style="563" customWidth="1"/>
    <col min="13579" max="13579" width="1.6640625" style="563" customWidth="1"/>
    <col min="13580" max="13580" width="11" style="563" customWidth="1"/>
    <col min="13581" max="13581" width="1.33203125" style="563" customWidth="1"/>
    <col min="13582" max="13582" width="10.77734375" style="563" customWidth="1"/>
    <col min="13583" max="13583" width="1.33203125" style="563" customWidth="1"/>
    <col min="13584" max="13584" width="10" style="563" customWidth="1"/>
    <col min="13585" max="13585" width="1.33203125" style="563" customWidth="1"/>
    <col min="13586" max="13586" width="9.33203125" style="563" customWidth="1"/>
    <col min="13587" max="13587" width="1.33203125" style="563" customWidth="1"/>
    <col min="13588" max="13588" width="7.77734375" style="563" customWidth="1"/>
    <col min="13589" max="13589" width="1.33203125" style="563" customWidth="1"/>
    <col min="13590" max="13590" width="0.77734375" style="563" customWidth="1"/>
    <col min="13591" max="13591" width="9.33203125" style="563" customWidth="1"/>
    <col min="13592" max="13592" width="1.33203125" style="563" customWidth="1"/>
    <col min="13593" max="13593" width="0.88671875" style="563" customWidth="1"/>
    <col min="13594" max="13594" width="9.5546875" style="563" bestFit="1" customWidth="1"/>
    <col min="13595" max="13596" width="0.6640625" style="563" customWidth="1"/>
    <col min="13597" max="13597" width="9.6640625" style="563" customWidth="1"/>
    <col min="13598" max="13598" width="1.109375" style="563" customWidth="1"/>
    <col min="13599" max="13599" width="8.5546875" style="563" customWidth="1"/>
    <col min="13600" max="13600" width="14.5546875" style="563" customWidth="1"/>
    <col min="13601" max="13601" width="10" style="563" customWidth="1"/>
    <col min="13602" max="13602" width="7.77734375" style="563" bestFit="1" customWidth="1"/>
    <col min="13603" max="13603" width="9.88671875" style="563" customWidth="1"/>
    <col min="13604" max="13820" width="8.88671875" style="563"/>
    <col min="13821" max="13821" width="38.44140625" style="563" customWidth="1"/>
    <col min="13822" max="13822" width="8.5546875" style="563" customWidth="1"/>
    <col min="13823" max="13823" width="1.33203125" style="563" customWidth="1"/>
    <col min="13824" max="13824" width="8.88671875" style="563" customWidth="1"/>
    <col min="13825" max="13825" width="1.33203125" style="563" customWidth="1"/>
    <col min="13826" max="13826" width="9.33203125" style="563" customWidth="1"/>
    <col min="13827" max="13827" width="1.33203125" style="563" customWidth="1"/>
    <col min="13828" max="13828" width="10" style="563" customWidth="1"/>
    <col min="13829" max="13829" width="1.33203125" style="563" customWidth="1"/>
    <col min="13830" max="13830" width="9.109375" style="563" customWidth="1"/>
    <col min="13831" max="13831" width="1.33203125" style="563" customWidth="1"/>
    <col min="13832" max="13832" width="11.33203125" style="563" customWidth="1"/>
    <col min="13833" max="13833" width="1.33203125" style="563" customWidth="1"/>
    <col min="13834" max="13834" width="9.109375" style="563" customWidth="1"/>
    <col min="13835" max="13835" width="1.6640625" style="563" customWidth="1"/>
    <col min="13836" max="13836" width="11" style="563" customWidth="1"/>
    <col min="13837" max="13837" width="1.33203125" style="563" customWidth="1"/>
    <col min="13838" max="13838" width="10.77734375" style="563" customWidth="1"/>
    <col min="13839" max="13839" width="1.33203125" style="563" customWidth="1"/>
    <col min="13840" max="13840" width="10" style="563" customWidth="1"/>
    <col min="13841" max="13841" width="1.33203125" style="563" customWidth="1"/>
    <col min="13842" max="13842" width="9.33203125" style="563" customWidth="1"/>
    <col min="13843" max="13843" width="1.33203125" style="563" customWidth="1"/>
    <col min="13844" max="13844" width="7.77734375" style="563" customWidth="1"/>
    <col min="13845" max="13845" width="1.33203125" style="563" customWidth="1"/>
    <col min="13846" max="13846" width="0.77734375" style="563" customWidth="1"/>
    <col min="13847" max="13847" width="9.33203125" style="563" customWidth="1"/>
    <col min="13848" max="13848" width="1.33203125" style="563" customWidth="1"/>
    <col min="13849" max="13849" width="0.88671875" style="563" customWidth="1"/>
    <col min="13850" max="13850" width="9.5546875" style="563" bestFit="1" customWidth="1"/>
    <col min="13851" max="13852" width="0.6640625" style="563" customWidth="1"/>
    <col min="13853" max="13853" width="9.6640625" style="563" customWidth="1"/>
    <col min="13854" max="13854" width="1.109375" style="563" customWidth="1"/>
    <col min="13855" max="13855" width="8.5546875" style="563" customWidth="1"/>
    <col min="13856" max="13856" width="14.5546875" style="563" customWidth="1"/>
    <col min="13857" max="13857" width="10" style="563" customWidth="1"/>
    <col min="13858" max="13858" width="7.77734375" style="563" bestFit="1" customWidth="1"/>
    <col min="13859" max="13859" width="9.88671875" style="563" customWidth="1"/>
    <col min="13860" max="14076" width="8.88671875" style="563"/>
    <col min="14077" max="14077" width="38.44140625" style="563" customWidth="1"/>
    <col min="14078" max="14078" width="8.5546875" style="563" customWidth="1"/>
    <col min="14079" max="14079" width="1.33203125" style="563" customWidth="1"/>
    <col min="14080" max="14080" width="8.88671875" style="563" customWidth="1"/>
    <col min="14081" max="14081" width="1.33203125" style="563" customWidth="1"/>
    <col min="14082" max="14082" width="9.33203125" style="563" customWidth="1"/>
    <col min="14083" max="14083" width="1.33203125" style="563" customWidth="1"/>
    <col min="14084" max="14084" width="10" style="563" customWidth="1"/>
    <col min="14085" max="14085" width="1.33203125" style="563" customWidth="1"/>
    <col min="14086" max="14086" width="9.109375" style="563" customWidth="1"/>
    <col min="14087" max="14087" width="1.33203125" style="563" customWidth="1"/>
    <col min="14088" max="14088" width="11.33203125" style="563" customWidth="1"/>
    <col min="14089" max="14089" width="1.33203125" style="563" customWidth="1"/>
    <col min="14090" max="14090" width="9.109375" style="563" customWidth="1"/>
    <col min="14091" max="14091" width="1.6640625" style="563" customWidth="1"/>
    <col min="14092" max="14092" width="11" style="563" customWidth="1"/>
    <col min="14093" max="14093" width="1.33203125" style="563" customWidth="1"/>
    <col min="14094" max="14094" width="10.77734375" style="563" customWidth="1"/>
    <col min="14095" max="14095" width="1.33203125" style="563" customWidth="1"/>
    <col min="14096" max="14096" width="10" style="563" customWidth="1"/>
    <col min="14097" max="14097" width="1.33203125" style="563" customWidth="1"/>
    <col min="14098" max="14098" width="9.33203125" style="563" customWidth="1"/>
    <col min="14099" max="14099" width="1.33203125" style="563" customWidth="1"/>
    <col min="14100" max="14100" width="7.77734375" style="563" customWidth="1"/>
    <col min="14101" max="14101" width="1.33203125" style="563" customWidth="1"/>
    <col min="14102" max="14102" width="0.77734375" style="563" customWidth="1"/>
    <col min="14103" max="14103" width="9.33203125" style="563" customWidth="1"/>
    <col min="14104" max="14104" width="1.33203125" style="563" customWidth="1"/>
    <col min="14105" max="14105" width="0.88671875" style="563" customWidth="1"/>
    <col min="14106" max="14106" width="9.5546875" style="563" bestFit="1" customWidth="1"/>
    <col min="14107" max="14108" width="0.6640625" style="563" customWidth="1"/>
    <col min="14109" max="14109" width="9.6640625" style="563" customWidth="1"/>
    <col min="14110" max="14110" width="1.109375" style="563" customWidth="1"/>
    <col min="14111" max="14111" width="8.5546875" style="563" customWidth="1"/>
    <col min="14112" max="14112" width="14.5546875" style="563" customWidth="1"/>
    <col min="14113" max="14113" width="10" style="563" customWidth="1"/>
    <col min="14114" max="14114" width="7.77734375" style="563" bestFit="1" customWidth="1"/>
    <col min="14115" max="14115" width="9.88671875" style="563" customWidth="1"/>
    <col min="14116" max="14332" width="8.88671875" style="563"/>
    <col min="14333" max="14333" width="38.44140625" style="563" customWidth="1"/>
    <col min="14334" max="14334" width="8.5546875" style="563" customWidth="1"/>
    <col min="14335" max="14335" width="1.33203125" style="563" customWidth="1"/>
    <col min="14336" max="14336" width="8.88671875" style="563" customWidth="1"/>
    <col min="14337" max="14337" width="1.33203125" style="563" customWidth="1"/>
    <col min="14338" max="14338" width="9.33203125" style="563" customWidth="1"/>
    <col min="14339" max="14339" width="1.33203125" style="563" customWidth="1"/>
    <col min="14340" max="14340" width="10" style="563" customWidth="1"/>
    <col min="14341" max="14341" width="1.33203125" style="563" customWidth="1"/>
    <col min="14342" max="14342" width="9.109375" style="563" customWidth="1"/>
    <col min="14343" max="14343" width="1.33203125" style="563" customWidth="1"/>
    <col min="14344" max="14344" width="11.33203125" style="563" customWidth="1"/>
    <col min="14345" max="14345" width="1.33203125" style="563" customWidth="1"/>
    <col min="14346" max="14346" width="9.109375" style="563" customWidth="1"/>
    <col min="14347" max="14347" width="1.6640625" style="563" customWidth="1"/>
    <col min="14348" max="14348" width="11" style="563" customWidth="1"/>
    <col min="14349" max="14349" width="1.33203125" style="563" customWidth="1"/>
    <col min="14350" max="14350" width="10.77734375" style="563" customWidth="1"/>
    <col min="14351" max="14351" width="1.33203125" style="563" customWidth="1"/>
    <col min="14352" max="14352" width="10" style="563" customWidth="1"/>
    <col min="14353" max="14353" width="1.33203125" style="563" customWidth="1"/>
    <col min="14354" max="14354" width="9.33203125" style="563" customWidth="1"/>
    <col min="14355" max="14355" width="1.33203125" style="563" customWidth="1"/>
    <col min="14356" max="14356" width="7.77734375" style="563" customWidth="1"/>
    <col min="14357" max="14357" width="1.33203125" style="563" customWidth="1"/>
    <col min="14358" max="14358" width="0.77734375" style="563" customWidth="1"/>
    <col min="14359" max="14359" width="9.33203125" style="563" customWidth="1"/>
    <col min="14360" max="14360" width="1.33203125" style="563" customWidth="1"/>
    <col min="14361" max="14361" width="0.88671875" style="563" customWidth="1"/>
    <col min="14362" max="14362" width="9.5546875" style="563" bestFit="1" customWidth="1"/>
    <col min="14363" max="14364" width="0.6640625" style="563" customWidth="1"/>
    <col min="14365" max="14365" width="9.6640625" style="563" customWidth="1"/>
    <col min="14366" max="14366" width="1.109375" style="563" customWidth="1"/>
    <col min="14367" max="14367" width="8.5546875" style="563" customWidth="1"/>
    <col min="14368" max="14368" width="14.5546875" style="563" customWidth="1"/>
    <col min="14369" max="14369" width="10" style="563" customWidth="1"/>
    <col min="14370" max="14370" width="7.77734375" style="563" bestFit="1" customWidth="1"/>
    <col min="14371" max="14371" width="9.88671875" style="563" customWidth="1"/>
    <col min="14372" max="14588" width="8.88671875" style="563"/>
    <col min="14589" max="14589" width="38.44140625" style="563" customWidth="1"/>
    <col min="14590" max="14590" width="8.5546875" style="563" customWidth="1"/>
    <col min="14591" max="14591" width="1.33203125" style="563" customWidth="1"/>
    <col min="14592" max="14592" width="8.88671875" style="563" customWidth="1"/>
    <col min="14593" max="14593" width="1.33203125" style="563" customWidth="1"/>
    <col min="14594" max="14594" width="9.33203125" style="563" customWidth="1"/>
    <col min="14595" max="14595" width="1.33203125" style="563" customWidth="1"/>
    <col min="14596" max="14596" width="10" style="563" customWidth="1"/>
    <col min="14597" max="14597" width="1.33203125" style="563" customWidth="1"/>
    <col min="14598" max="14598" width="9.109375" style="563" customWidth="1"/>
    <col min="14599" max="14599" width="1.33203125" style="563" customWidth="1"/>
    <col min="14600" max="14600" width="11.33203125" style="563" customWidth="1"/>
    <col min="14601" max="14601" width="1.33203125" style="563" customWidth="1"/>
    <col min="14602" max="14602" width="9.109375" style="563" customWidth="1"/>
    <col min="14603" max="14603" width="1.6640625" style="563" customWidth="1"/>
    <col min="14604" max="14604" width="11" style="563" customWidth="1"/>
    <col min="14605" max="14605" width="1.33203125" style="563" customWidth="1"/>
    <col min="14606" max="14606" width="10.77734375" style="563" customWidth="1"/>
    <col min="14607" max="14607" width="1.33203125" style="563" customWidth="1"/>
    <col min="14608" max="14608" width="10" style="563" customWidth="1"/>
    <col min="14609" max="14609" width="1.33203125" style="563" customWidth="1"/>
    <col min="14610" max="14610" width="9.33203125" style="563" customWidth="1"/>
    <col min="14611" max="14611" width="1.33203125" style="563" customWidth="1"/>
    <col min="14612" max="14612" width="7.77734375" style="563" customWidth="1"/>
    <col min="14613" max="14613" width="1.33203125" style="563" customWidth="1"/>
    <col min="14614" max="14614" width="0.77734375" style="563" customWidth="1"/>
    <col min="14615" max="14615" width="9.33203125" style="563" customWidth="1"/>
    <col min="14616" max="14616" width="1.33203125" style="563" customWidth="1"/>
    <col min="14617" max="14617" width="0.88671875" style="563" customWidth="1"/>
    <col min="14618" max="14618" width="9.5546875" style="563" bestFit="1" customWidth="1"/>
    <col min="14619" max="14620" width="0.6640625" style="563" customWidth="1"/>
    <col min="14621" max="14621" width="9.6640625" style="563" customWidth="1"/>
    <col min="14622" max="14622" width="1.109375" style="563" customWidth="1"/>
    <col min="14623" max="14623" width="8.5546875" style="563" customWidth="1"/>
    <col min="14624" max="14624" width="14.5546875" style="563" customWidth="1"/>
    <col min="14625" max="14625" width="10" style="563" customWidth="1"/>
    <col min="14626" max="14626" width="7.77734375" style="563" bestFit="1" customWidth="1"/>
    <col min="14627" max="14627" width="9.88671875" style="563" customWidth="1"/>
    <col min="14628" max="14844" width="8.88671875" style="563"/>
    <col min="14845" max="14845" width="38.44140625" style="563" customWidth="1"/>
    <col min="14846" max="14846" width="8.5546875" style="563" customWidth="1"/>
    <col min="14847" max="14847" width="1.33203125" style="563" customWidth="1"/>
    <col min="14848" max="14848" width="8.88671875" style="563" customWidth="1"/>
    <col min="14849" max="14849" width="1.33203125" style="563" customWidth="1"/>
    <col min="14850" max="14850" width="9.33203125" style="563" customWidth="1"/>
    <col min="14851" max="14851" width="1.33203125" style="563" customWidth="1"/>
    <col min="14852" max="14852" width="10" style="563" customWidth="1"/>
    <col min="14853" max="14853" width="1.33203125" style="563" customWidth="1"/>
    <col min="14854" max="14854" width="9.109375" style="563" customWidth="1"/>
    <col min="14855" max="14855" width="1.33203125" style="563" customWidth="1"/>
    <col min="14856" max="14856" width="11.33203125" style="563" customWidth="1"/>
    <col min="14857" max="14857" width="1.33203125" style="563" customWidth="1"/>
    <col min="14858" max="14858" width="9.109375" style="563" customWidth="1"/>
    <col min="14859" max="14859" width="1.6640625" style="563" customWidth="1"/>
    <col min="14860" max="14860" width="11" style="563" customWidth="1"/>
    <col min="14861" max="14861" width="1.33203125" style="563" customWidth="1"/>
    <col min="14862" max="14862" width="10.77734375" style="563" customWidth="1"/>
    <col min="14863" max="14863" width="1.33203125" style="563" customWidth="1"/>
    <col min="14864" max="14864" width="10" style="563" customWidth="1"/>
    <col min="14865" max="14865" width="1.33203125" style="563" customWidth="1"/>
    <col min="14866" max="14866" width="9.33203125" style="563" customWidth="1"/>
    <col min="14867" max="14867" width="1.33203125" style="563" customWidth="1"/>
    <col min="14868" max="14868" width="7.77734375" style="563" customWidth="1"/>
    <col min="14869" max="14869" width="1.33203125" style="563" customWidth="1"/>
    <col min="14870" max="14870" width="0.77734375" style="563" customWidth="1"/>
    <col min="14871" max="14871" width="9.33203125" style="563" customWidth="1"/>
    <col min="14872" max="14872" width="1.33203125" style="563" customWidth="1"/>
    <col min="14873" max="14873" width="0.88671875" style="563" customWidth="1"/>
    <col min="14874" max="14874" width="9.5546875" style="563" bestFit="1" customWidth="1"/>
    <col min="14875" max="14876" width="0.6640625" style="563" customWidth="1"/>
    <col min="14877" max="14877" width="9.6640625" style="563" customWidth="1"/>
    <col min="14878" max="14878" width="1.109375" style="563" customWidth="1"/>
    <col min="14879" max="14879" width="8.5546875" style="563" customWidth="1"/>
    <col min="14880" max="14880" width="14.5546875" style="563" customWidth="1"/>
    <col min="14881" max="14881" width="10" style="563" customWidth="1"/>
    <col min="14882" max="14882" width="7.77734375" style="563" bestFit="1" customWidth="1"/>
    <col min="14883" max="14883" width="9.88671875" style="563" customWidth="1"/>
    <col min="14884" max="15100" width="8.88671875" style="563"/>
    <col min="15101" max="15101" width="38.44140625" style="563" customWidth="1"/>
    <col min="15102" max="15102" width="8.5546875" style="563" customWidth="1"/>
    <col min="15103" max="15103" width="1.33203125" style="563" customWidth="1"/>
    <col min="15104" max="15104" width="8.88671875" style="563" customWidth="1"/>
    <col min="15105" max="15105" width="1.33203125" style="563" customWidth="1"/>
    <col min="15106" max="15106" width="9.33203125" style="563" customWidth="1"/>
    <col min="15107" max="15107" width="1.33203125" style="563" customWidth="1"/>
    <col min="15108" max="15108" width="10" style="563" customWidth="1"/>
    <col min="15109" max="15109" width="1.33203125" style="563" customWidth="1"/>
    <col min="15110" max="15110" width="9.109375" style="563" customWidth="1"/>
    <col min="15111" max="15111" width="1.33203125" style="563" customWidth="1"/>
    <col min="15112" max="15112" width="11.33203125" style="563" customWidth="1"/>
    <col min="15113" max="15113" width="1.33203125" style="563" customWidth="1"/>
    <col min="15114" max="15114" width="9.109375" style="563" customWidth="1"/>
    <col min="15115" max="15115" width="1.6640625" style="563" customWidth="1"/>
    <col min="15116" max="15116" width="11" style="563" customWidth="1"/>
    <col min="15117" max="15117" width="1.33203125" style="563" customWidth="1"/>
    <col min="15118" max="15118" width="10.77734375" style="563" customWidth="1"/>
    <col min="15119" max="15119" width="1.33203125" style="563" customWidth="1"/>
    <col min="15120" max="15120" width="10" style="563" customWidth="1"/>
    <col min="15121" max="15121" width="1.33203125" style="563" customWidth="1"/>
    <col min="15122" max="15122" width="9.33203125" style="563" customWidth="1"/>
    <col min="15123" max="15123" width="1.33203125" style="563" customWidth="1"/>
    <col min="15124" max="15124" width="7.77734375" style="563" customWidth="1"/>
    <col min="15125" max="15125" width="1.33203125" style="563" customWidth="1"/>
    <col min="15126" max="15126" width="0.77734375" style="563" customWidth="1"/>
    <col min="15127" max="15127" width="9.33203125" style="563" customWidth="1"/>
    <col min="15128" max="15128" width="1.33203125" style="563" customWidth="1"/>
    <col min="15129" max="15129" width="0.88671875" style="563" customWidth="1"/>
    <col min="15130" max="15130" width="9.5546875" style="563" bestFit="1" customWidth="1"/>
    <col min="15131" max="15132" width="0.6640625" style="563" customWidth="1"/>
    <col min="15133" max="15133" width="9.6640625" style="563" customWidth="1"/>
    <col min="15134" max="15134" width="1.109375" style="563" customWidth="1"/>
    <col min="15135" max="15135" width="8.5546875" style="563" customWidth="1"/>
    <col min="15136" max="15136" width="14.5546875" style="563" customWidth="1"/>
    <col min="15137" max="15137" width="10" style="563" customWidth="1"/>
    <col min="15138" max="15138" width="7.77734375" style="563" bestFit="1" customWidth="1"/>
    <col min="15139" max="15139" width="9.88671875" style="563" customWidth="1"/>
    <col min="15140" max="15356" width="8.88671875" style="563"/>
    <col min="15357" max="15357" width="38.44140625" style="563" customWidth="1"/>
    <col min="15358" max="15358" width="8.5546875" style="563" customWidth="1"/>
    <col min="15359" max="15359" width="1.33203125" style="563" customWidth="1"/>
    <col min="15360" max="15360" width="8.88671875" style="563" customWidth="1"/>
    <col min="15361" max="15361" width="1.33203125" style="563" customWidth="1"/>
    <col min="15362" max="15362" width="9.33203125" style="563" customWidth="1"/>
    <col min="15363" max="15363" width="1.33203125" style="563" customWidth="1"/>
    <col min="15364" max="15364" width="10" style="563" customWidth="1"/>
    <col min="15365" max="15365" width="1.33203125" style="563" customWidth="1"/>
    <col min="15366" max="15366" width="9.109375" style="563" customWidth="1"/>
    <col min="15367" max="15367" width="1.33203125" style="563" customWidth="1"/>
    <col min="15368" max="15368" width="11.33203125" style="563" customWidth="1"/>
    <col min="15369" max="15369" width="1.33203125" style="563" customWidth="1"/>
    <col min="15370" max="15370" width="9.109375" style="563" customWidth="1"/>
    <col min="15371" max="15371" width="1.6640625" style="563" customWidth="1"/>
    <col min="15372" max="15372" width="11" style="563" customWidth="1"/>
    <col min="15373" max="15373" width="1.33203125" style="563" customWidth="1"/>
    <col min="15374" max="15374" width="10.77734375" style="563" customWidth="1"/>
    <col min="15375" max="15375" width="1.33203125" style="563" customWidth="1"/>
    <col min="15376" max="15376" width="10" style="563" customWidth="1"/>
    <col min="15377" max="15377" width="1.33203125" style="563" customWidth="1"/>
    <col min="15378" max="15378" width="9.33203125" style="563" customWidth="1"/>
    <col min="15379" max="15379" width="1.33203125" style="563" customWidth="1"/>
    <col min="15380" max="15380" width="7.77734375" style="563" customWidth="1"/>
    <col min="15381" max="15381" width="1.33203125" style="563" customWidth="1"/>
    <col min="15382" max="15382" width="0.77734375" style="563" customWidth="1"/>
    <col min="15383" max="15383" width="9.33203125" style="563" customWidth="1"/>
    <col min="15384" max="15384" width="1.33203125" style="563" customWidth="1"/>
    <col min="15385" max="15385" width="0.88671875" style="563" customWidth="1"/>
    <col min="15386" max="15386" width="9.5546875" style="563" bestFit="1" customWidth="1"/>
    <col min="15387" max="15388" width="0.6640625" style="563" customWidth="1"/>
    <col min="15389" max="15389" width="9.6640625" style="563" customWidth="1"/>
    <col min="15390" max="15390" width="1.109375" style="563" customWidth="1"/>
    <col min="15391" max="15391" width="8.5546875" style="563" customWidth="1"/>
    <col min="15392" max="15392" width="14.5546875" style="563" customWidth="1"/>
    <col min="15393" max="15393" width="10" style="563" customWidth="1"/>
    <col min="15394" max="15394" width="7.77734375" style="563" bestFit="1" customWidth="1"/>
    <col min="15395" max="15395" width="9.88671875" style="563" customWidth="1"/>
    <col min="15396" max="15612" width="8.88671875" style="563"/>
    <col min="15613" max="15613" width="38.44140625" style="563" customWidth="1"/>
    <col min="15614" max="15614" width="8.5546875" style="563" customWidth="1"/>
    <col min="15615" max="15615" width="1.33203125" style="563" customWidth="1"/>
    <col min="15616" max="15616" width="8.88671875" style="563" customWidth="1"/>
    <col min="15617" max="15617" width="1.33203125" style="563" customWidth="1"/>
    <col min="15618" max="15618" width="9.33203125" style="563" customWidth="1"/>
    <col min="15619" max="15619" width="1.33203125" style="563" customWidth="1"/>
    <col min="15620" max="15620" width="10" style="563" customWidth="1"/>
    <col min="15621" max="15621" width="1.33203125" style="563" customWidth="1"/>
    <col min="15622" max="15622" width="9.109375" style="563" customWidth="1"/>
    <col min="15623" max="15623" width="1.33203125" style="563" customWidth="1"/>
    <col min="15624" max="15624" width="11.33203125" style="563" customWidth="1"/>
    <col min="15625" max="15625" width="1.33203125" style="563" customWidth="1"/>
    <col min="15626" max="15626" width="9.109375" style="563" customWidth="1"/>
    <col min="15627" max="15627" width="1.6640625" style="563" customWidth="1"/>
    <col min="15628" max="15628" width="11" style="563" customWidth="1"/>
    <col min="15629" max="15629" width="1.33203125" style="563" customWidth="1"/>
    <col min="15630" max="15630" width="10.77734375" style="563" customWidth="1"/>
    <col min="15631" max="15631" width="1.33203125" style="563" customWidth="1"/>
    <col min="15632" max="15632" width="10" style="563" customWidth="1"/>
    <col min="15633" max="15633" width="1.33203125" style="563" customWidth="1"/>
    <col min="15634" max="15634" width="9.33203125" style="563" customWidth="1"/>
    <col min="15635" max="15635" width="1.33203125" style="563" customWidth="1"/>
    <col min="15636" max="15636" width="7.77734375" style="563" customWidth="1"/>
    <col min="15637" max="15637" width="1.33203125" style="563" customWidth="1"/>
    <col min="15638" max="15638" width="0.77734375" style="563" customWidth="1"/>
    <col min="15639" max="15639" width="9.33203125" style="563" customWidth="1"/>
    <col min="15640" max="15640" width="1.33203125" style="563" customWidth="1"/>
    <col min="15641" max="15641" width="0.88671875" style="563" customWidth="1"/>
    <col min="15642" max="15642" width="9.5546875" style="563" bestFit="1" customWidth="1"/>
    <col min="15643" max="15644" width="0.6640625" style="563" customWidth="1"/>
    <col min="15645" max="15645" width="9.6640625" style="563" customWidth="1"/>
    <col min="15646" max="15646" width="1.109375" style="563" customWidth="1"/>
    <col min="15647" max="15647" width="8.5546875" style="563" customWidth="1"/>
    <col min="15648" max="15648" width="14.5546875" style="563" customWidth="1"/>
    <col min="15649" max="15649" width="10" style="563" customWidth="1"/>
    <col min="15650" max="15650" width="7.77734375" style="563" bestFit="1" customWidth="1"/>
    <col min="15651" max="15651" width="9.88671875" style="563" customWidth="1"/>
    <col min="15652" max="15868" width="8.88671875" style="563"/>
    <col min="15869" max="15869" width="38.44140625" style="563" customWidth="1"/>
    <col min="15870" max="15870" width="8.5546875" style="563" customWidth="1"/>
    <col min="15871" max="15871" width="1.33203125" style="563" customWidth="1"/>
    <col min="15872" max="15872" width="8.88671875" style="563" customWidth="1"/>
    <col min="15873" max="15873" width="1.33203125" style="563" customWidth="1"/>
    <col min="15874" max="15874" width="9.33203125" style="563" customWidth="1"/>
    <col min="15875" max="15875" width="1.33203125" style="563" customWidth="1"/>
    <col min="15876" max="15876" width="10" style="563" customWidth="1"/>
    <col min="15877" max="15877" width="1.33203125" style="563" customWidth="1"/>
    <col min="15878" max="15878" width="9.109375" style="563" customWidth="1"/>
    <col min="15879" max="15879" width="1.33203125" style="563" customWidth="1"/>
    <col min="15880" max="15880" width="11.33203125" style="563" customWidth="1"/>
    <col min="15881" max="15881" width="1.33203125" style="563" customWidth="1"/>
    <col min="15882" max="15882" width="9.109375" style="563" customWidth="1"/>
    <col min="15883" max="15883" width="1.6640625" style="563" customWidth="1"/>
    <col min="15884" max="15884" width="11" style="563" customWidth="1"/>
    <col min="15885" max="15885" width="1.33203125" style="563" customWidth="1"/>
    <col min="15886" max="15886" width="10.77734375" style="563" customWidth="1"/>
    <col min="15887" max="15887" width="1.33203125" style="563" customWidth="1"/>
    <col min="15888" max="15888" width="10" style="563" customWidth="1"/>
    <col min="15889" max="15889" width="1.33203125" style="563" customWidth="1"/>
    <col min="15890" max="15890" width="9.33203125" style="563" customWidth="1"/>
    <col min="15891" max="15891" width="1.33203125" style="563" customWidth="1"/>
    <col min="15892" max="15892" width="7.77734375" style="563" customWidth="1"/>
    <col min="15893" max="15893" width="1.33203125" style="563" customWidth="1"/>
    <col min="15894" max="15894" width="0.77734375" style="563" customWidth="1"/>
    <col min="15895" max="15895" width="9.33203125" style="563" customWidth="1"/>
    <col min="15896" max="15896" width="1.33203125" style="563" customWidth="1"/>
    <col min="15897" max="15897" width="0.88671875" style="563" customWidth="1"/>
    <col min="15898" max="15898" width="9.5546875" style="563" bestFit="1" customWidth="1"/>
    <col min="15899" max="15900" width="0.6640625" style="563" customWidth="1"/>
    <col min="15901" max="15901" width="9.6640625" style="563" customWidth="1"/>
    <col min="15902" max="15902" width="1.109375" style="563" customWidth="1"/>
    <col min="15903" max="15903" width="8.5546875" style="563" customWidth="1"/>
    <col min="15904" max="15904" width="14.5546875" style="563" customWidth="1"/>
    <col min="15905" max="15905" width="10" style="563" customWidth="1"/>
    <col min="15906" max="15906" width="7.77734375" style="563" bestFit="1" customWidth="1"/>
    <col min="15907" max="15907" width="9.88671875" style="563" customWidth="1"/>
    <col min="15908" max="16124" width="8.88671875" style="563"/>
    <col min="16125" max="16125" width="38.44140625" style="563" customWidth="1"/>
    <col min="16126" max="16126" width="8.5546875" style="563" customWidth="1"/>
    <col min="16127" max="16127" width="1.33203125" style="563" customWidth="1"/>
    <col min="16128" max="16128" width="8.88671875" style="563" customWidth="1"/>
    <col min="16129" max="16129" width="1.33203125" style="563" customWidth="1"/>
    <col min="16130" max="16130" width="9.33203125" style="563" customWidth="1"/>
    <col min="16131" max="16131" width="1.33203125" style="563" customWidth="1"/>
    <col min="16132" max="16132" width="10" style="563" customWidth="1"/>
    <col min="16133" max="16133" width="1.33203125" style="563" customWidth="1"/>
    <col min="16134" max="16134" width="9.109375" style="563" customWidth="1"/>
    <col min="16135" max="16135" width="1.33203125" style="563" customWidth="1"/>
    <col min="16136" max="16136" width="11.33203125" style="563" customWidth="1"/>
    <col min="16137" max="16137" width="1.33203125" style="563" customWidth="1"/>
    <col min="16138" max="16138" width="9.109375" style="563" customWidth="1"/>
    <col min="16139" max="16139" width="1.6640625" style="563" customWidth="1"/>
    <col min="16140" max="16140" width="11" style="563" customWidth="1"/>
    <col min="16141" max="16141" width="1.33203125" style="563" customWidth="1"/>
    <col min="16142" max="16142" width="10.77734375" style="563" customWidth="1"/>
    <col min="16143" max="16143" width="1.33203125" style="563" customWidth="1"/>
    <col min="16144" max="16144" width="10" style="563" customWidth="1"/>
    <col min="16145" max="16145" width="1.33203125" style="563" customWidth="1"/>
    <col min="16146" max="16146" width="9.33203125" style="563" customWidth="1"/>
    <col min="16147" max="16147" width="1.33203125" style="563" customWidth="1"/>
    <col min="16148" max="16148" width="7.77734375" style="563" customWidth="1"/>
    <col min="16149" max="16149" width="1.33203125" style="563" customWidth="1"/>
    <col min="16150" max="16150" width="0.77734375" style="563" customWidth="1"/>
    <col min="16151" max="16151" width="9.33203125" style="563" customWidth="1"/>
    <col min="16152" max="16152" width="1.33203125" style="563" customWidth="1"/>
    <col min="16153" max="16153" width="0.88671875" style="563" customWidth="1"/>
    <col min="16154" max="16154" width="9.5546875" style="563" bestFit="1" customWidth="1"/>
    <col min="16155" max="16156" width="0.6640625" style="563" customWidth="1"/>
    <col min="16157" max="16157" width="9.6640625" style="563" customWidth="1"/>
    <col min="16158" max="16158" width="1.109375" style="563" customWidth="1"/>
    <col min="16159" max="16159" width="8.5546875" style="563" customWidth="1"/>
    <col min="16160" max="16160" width="14.5546875" style="563" customWidth="1"/>
    <col min="16161" max="16161" width="10" style="563" customWidth="1"/>
    <col min="16162" max="16162" width="7.77734375" style="563" bestFit="1" customWidth="1"/>
    <col min="16163" max="16163" width="9.88671875" style="563" customWidth="1"/>
    <col min="16164" max="16384" width="8.88671875" style="563"/>
  </cols>
  <sheetData>
    <row r="1" spans="1:36" ht="15">
      <c r="A1" s="1227" t="s">
        <v>1322</v>
      </c>
    </row>
    <row r="2" spans="1:36" ht="10.5" customHeight="1">
      <c r="A2" s="561"/>
      <c r="B2" s="561"/>
      <c r="C2" s="561"/>
      <c r="D2" s="561"/>
      <c r="E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row>
    <row r="3" spans="1:36" ht="18">
      <c r="A3" s="564" t="s">
        <v>0</v>
      </c>
      <c r="B3" s="561"/>
      <c r="C3" s="561"/>
      <c r="D3" s="561"/>
      <c r="E3" s="561"/>
      <c r="G3" s="561"/>
      <c r="H3" s="561"/>
      <c r="I3" s="561"/>
      <c r="J3" s="561"/>
      <c r="K3" s="561"/>
      <c r="L3" s="561"/>
      <c r="M3" s="561"/>
      <c r="N3" s="561"/>
      <c r="O3" s="561"/>
      <c r="P3" s="561"/>
      <c r="Q3" s="561"/>
      <c r="R3" s="561"/>
      <c r="S3" s="561"/>
      <c r="T3" s="561"/>
      <c r="U3" s="561"/>
      <c r="V3" s="561"/>
      <c r="W3" s="561"/>
      <c r="X3" s="561"/>
      <c r="Y3" s="561"/>
      <c r="Z3" s="561"/>
      <c r="AA3" s="561"/>
      <c r="AB3" s="561"/>
      <c r="AC3" s="561"/>
      <c r="AD3" s="561"/>
      <c r="AE3" s="561"/>
      <c r="AF3" s="561"/>
      <c r="AG3" s="561"/>
      <c r="AI3" s="2664" t="s">
        <v>1576</v>
      </c>
    </row>
    <row r="4" spans="1:36" ht="18">
      <c r="A4" s="566" t="s">
        <v>195</v>
      </c>
      <c r="B4" s="561"/>
      <c r="C4" s="561"/>
      <c r="D4" s="561"/>
      <c r="E4" s="561"/>
      <c r="G4" s="561"/>
      <c r="H4" s="561"/>
      <c r="I4" s="561"/>
      <c r="J4" s="561"/>
      <c r="K4" s="561"/>
      <c r="L4" s="561"/>
      <c r="M4" s="561"/>
      <c r="N4" s="561"/>
      <c r="O4" s="561"/>
      <c r="P4" s="561"/>
      <c r="Q4" s="561"/>
      <c r="R4" s="561"/>
      <c r="S4" s="561"/>
      <c r="T4" s="561"/>
      <c r="U4" s="561"/>
      <c r="V4" s="561"/>
      <c r="W4" s="561"/>
      <c r="X4" s="561"/>
      <c r="Y4" s="561"/>
      <c r="Z4" s="561"/>
      <c r="AC4" s="561"/>
      <c r="AD4" s="561"/>
      <c r="AE4" s="561"/>
      <c r="AF4" s="561"/>
    </row>
    <row r="5" spans="1:36" ht="18">
      <c r="A5" s="566" t="s">
        <v>155</v>
      </c>
      <c r="B5" s="561"/>
      <c r="C5" s="561"/>
      <c r="D5" s="561"/>
      <c r="E5" s="561"/>
      <c r="G5" s="561"/>
      <c r="H5" s="561"/>
      <c r="I5" s="561"/>
      <c r="J5" s="561"/>
      <c r="K5" s="561"/>
      <c r="L5" s="561"/>
      <c r="M5" s="561"/>
      <c r="N5" s="561"/>
      <c r="O5" s="561"/>
      <c r="P5" s="561"/>
      <c r="Q5" s="561"/>
      <c r="R5" s="561"/>
      <c r="S5" s="561"/>
      <c r="T5" s="561"/>
      <c r="U5" s="561"/>
      <c r="V5" s="561"/>
      <c r="W5" s="561"/>
      <c r="X5" s="561"/>
      <c r="Y5" s="561"/>
      <c r="Z5" s="561"/>
      <c r="AA5" s="561"/>
      <c r="AB5" s="3364"/>
      <c r="AC5" s="3365"/>
      <c r="AD5" s="3365"/>
      <c r="AE5" s="565"/>
      <c r="AF5" s="565"/>
      <c r="AG5" s="565"/>
      <c r="AH5" s="565"/>
      <c r="AI5" s="565"/>
      <c r="AJ5" s="1047"/>
    </row>
    <row r="6" spans="1:36" ht="18">
      <c r="A6" s="564" t="s">
        <v>1175</v>
      </c>
      <c r="B6" s="561"/>
      <c r="C6" s="561"/>
      <c r="D6" s="561"/>
      <c r="E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row>
    <row r="7" spans="1:36" ht="18">
      <c r="A7" s="566" t="s">
        <v>1198</v>
      </c>
      <c r="B7" s="561"/>
      <c r="C7" s="561"/>
      <c r="D7" s="561"/>
      <c r="E7" s="561"/>
      <c r="G7" s="561"/>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row>
    <row r="8" spans="1:36" ht="15.75">
      <c r="A8" s="561"/>
      <c r="B8" s="561"/>
      <c r="C8" s="561"/>
      <c r="D8" s="561"/>
      <c r="E8" s="561"/>
      <c r="G8" s="561"/>
      <c r="H8" s="561"/>
      <c r="I8" s="561"/>
      <c r="J8" s="561"/>
      <c r="K8" s="561"/>
      <c r="L8" s="561"/>
      <c r="M8" s="561"/>
      <c r="N8" s="561"/>
      <c r="O8" s="561"/>
      <c r="P8" s="561"/>
      <c r="Q8" s="561"/>
      <c r="R8" s="561"/>
      <c r="S8" s="561"/>
      <c r="T8" s="561"/>
      <c r="U8" s="561"/>
      <c r="V8" s="561"/>
      <c r="W8" s="561"/>
      <c r="X8" s="561"/>
      <c r="Y8" s="561"/>
      <c r="Z8" s="561"/>
      <c r="AA8" s="3366" t="s">
        <v>1630</v>
      </c>
      <c r="AB8" s="3367"/>
      <c r="AC8" s="3367"/>
      <c r="AD8" s="3367"/>
      <c r="AE8" s="3367"/>
      <c r="AF8" s="3367"/>
      <c r="AG8" s="3367"/>
      <c r="AH8" s="3367"/>
      <c r="AI8" s="3367"/>
    </row>
    <row r="9" spans="1:36" ht="15.75">
      <c r="A9" s="561"/>
      <c r="B9" s="1644">
        <v>2014</v>
      </c>
      <c r="C9" s="594"/>
      <c r="D9" s="594"/>
      <c r="E9" s="594"/>
      <c r="F9" s="1645"/>
      <c r="G9" s="594"/>
      <c r="H9" s="594"/>
      <c r="I9" s="594"/>
      <c r="J9" s="594"/>
      <c r="K9" s="594"/>
      <c r="L9" s="594"/>
      <c r="M9" s="594"/>
      <c r="N9" s="594"/>
      <c r="O9" s="594"/>
      <c r="P9" s="594"/>
      <c r="Q9" s="594"/>
      <c r="R9" s="594"/>
      <c r="S9" s="594"/>
      <c r="T9" s="1644">
        <v>2015</v>
      </c>
      <c r="U9" s="594"/>
      <c r="V9" s="594"/>
      <c r="W9" s="594"/>
      <c r="X9" s="569"/>
      <c r="Y9" s="594"/>
      <c r="Z9" s="594"/>
      <c r="AA9" s="594"/>
      <c r="AB9" s="594"/>
      <c r="AC9" s="594"/>
      <c r="AD9" s="594"/>
      <c r="AE9" s="1646"/>
      <c r="AF9" s="594"/>
      <c r="AG9" s="1647" t="s">
        <v>8</v>
      </c>
      <c r="AH9" s="1648"/>
      <c r="AI9" s="1649" t="s">
        <v>9</v>
      </c>
      <c r="AJ9" s="1047"/>
    </row>
    <row r="10" spans="1:36" ht="15.75">
      <c r="A10" s="561"/>
      <c r="B10" s="1611" t="s">
        <v>131</v>
      </c>
      <c r="C10" s="594"/>
      <c r="D10" s="1611" t="s">
        <v>132</v>
      </c>
      <c r="E10" s="569"/>
      <c r="F10" s="1650" t="s">
        <v>133</v>
      </c>
      <c r="G10" s="569"/>
      <c r="H10" s="1611" t="s">
        <v>134</v>
      </c>
      <c r="I10" s="569"/>
      <c r="J10" s="1611" t="s">
        <v>135</v>
      </c>
      <c r="K10" s="569"/>
      <c r="L10" s="1610" t="s">
        <v>150</v>
      </c>
      <c r="M10" s="569"/>
      <c r="N10" s="1611" t="s">
        <v>151</v>
      </c>
      <c r="O10" s="569"/>
      <c r="P10" s="1611" t="s">
        <v>138</v>
      </c>
      <c r="Q10" s="569"/>
      <c r="R10" s="1611" t="s">
        <v>139</v>
      </c>
      <c r="S10" s="594"/>
      <c r="T10" s="1611" t="s">
        <v>140</v>
      </c>
      <c r="U10" s="569"/>
      <c r="V10" s="1611" t="s">
        <v>141</v>
      </c>
      <c r="W10" s="569"/>
      <c r="X10" s="1611" t="s">
        <v>196</v>
      </c>
      <c r="Y10" s="569"/>
      <c r="Z10" s="569"/>
      <c r="AA10" s="1651">
        <v>2014</v>
      </c>
      <c r="AB10" s="569"/>
      <c r="AC10" s="569"/>
      <c r="AD10" s="1651">
        <v>2013</v>
      </c>
      <c r="AE10" s="1652"/>
      <c r="AF10" s="1652"/>
      <c r="AG10" s="1653" t="s">
        <v>13</v>
      </c>
      <c r="AH10" s="1654"/>
      <c r="AI10" s="1653" t="s">
        <v>14</v>
      </c>
      <c r="AJ10" s="1047"/>
    </row>
    <row r="11" spans="1:36" ht="3" customHeight="1">
      <c r="A11" s="561"/>
      <c r="B11" s="573"/>
      <c r="C11" s="567"/>
      <c r="D11" s="573"/>
      <c r="E11" s="571"/>
      <c r="F11" s="574"/>
      <c r="G11" s="571"/>
      <c r="H11" s="573"/>
      <c r="I11" s="571"/>
      <c r="J11" s="573"/>
      <c r="K11" s="571"/>
      <c r="L11" s="575"/>
      <c r="M11" s="571"/>
      <c r="N11" s="573"/>
      <c r="O11" s="571"/>
      <c r="P11" s="573"/>
      <c r="Q11" s="571"/>
      <c r="R11" s="573"/>
      <c r="S11" s="567"/>
      <c r="T11" s="576"/>
      <c r="U11" s="571"/>
      <c r="V11" s="573"/>
      <c r="W11" s="571"/>
      <c r="X11" s="573"/>
      <c r="Y11" s="571"/>
      <c r="Z11" s="571"/>
      <c r="AA11" s="572"/>
      <c r="AB11" s="571"/>
      <c r="AC11" s="571"/>
      <c r="AD11" s="572"/>
      <c r="AE11" s="572"/>
      <c r="AF11" s="577"/>
      <c r="AG11" s="572"/>
      <c r="AH11" s="578"/>
      <c r="AI11" s="579"/>
    </row>
    <row r="12" spans="1:36" ht="15.75">
      <c r="A12" s="580" t="s">
        <v>197</v>
      </c>
      <c r="B12" s="581">
        <v>65.099999999999994</v>
      </c>
      <c r="C12" s="581"/>
      <c r="D12" s="582">
        <f>+B70</f>
        <v>486.7</v>
      </c>
      <c r="E12" s="581"/>
      <c r="F12" s="582">
        <f>D70</f>
        <v>508.3</v>
      </c>
      <c r="G12" s="581"/>
      <c r="H12" s="582">
        <f>+F70</f>
        <v>222.9</v>
      </c>
      <c r="I12" s="581"/>
      <c r="J12" s="582">
        <f>+H70</f>
        <v>708.2</v>
      </c>
      <c r="K12" s="581"/>
      <c r="L12" s="582">
        <f>+J70</f>
        <v>1069</v>
      </c>
      <c r="M12" s="581"/>
      <c r="N12" s="582">
        <f>+L70</f>
        <v>136.80000000000001</v>
      </c>
      <c r="O12" s="581"/>
      <c r="P12" s="582"/>
      <c r="Q12" s="581"/>
      <c r="R12" s="582"/>
      <c r="S12" s="581"/>
      <c r="T12" s="582"/>
      <c r="U12" s="581"/>
      <c r="V12" s="582"/>
      <c r="W12" s="581"/>
      <c r="X12" s="583"/>
      <c r="Y12" s="584"/>
      <c r="Z12" s="581"/>
      <c r="AA12" s="581">
        <v>65.099999999999994</v>
      </c>
      <c r="AB12" s="584"/>
      <c r="AC12" s="581"/>
      <c r="AD12" s="581">
        <v>379.1</v>
      </c>
      <c r="AE12" s="585"/>
      <c r="AF12" s="586"/>
      <c r="AG12" s="587">
        <f>ROUND(SUM(AA12-AD12),1)</f>
        <v>-314</v>
      </c>
      <c r="AH12" s="588"/>
      <c r="AI12" s="589">
        <f>ROUND(SUM(AG12/AD12),3)</f>
        <v>-0.82799999999999996</v>
      </c>
      <c r="AJ12" s="1047"/>
    </row>
    <row r="13" spans="1:36" ht="12.75" customHeight="1">
      <c r="A13" s="567"/>
      <c r="B13" s="567"/>
      <c r="C13" s="567"/>
      <c r="D13" s="567"/>
      <c r="E13" s="567"/>
      <c r="F13" s="568"/>
      <c r="G13" s="567"/>
      <c r="H13" s="567"/>
      <c r="I13" s="567"/>
      <c r="J13" s="567"/>
      <c r="K13" s="567"/>
      <c r="L13" s="567"/>
      <c r="M13" s="567"/>
      <c r="N13" s="567"/>
      <c r="O13" s="567"/>
      <c r="P13" s="567"/>
      <c r="Q13" s="567"/>
      <c r="R13" s="567"/>
      <c r="S13" s="567"/>
      <c r="T13" s="567"/>
      <c r="U13" s="567"/>
      <c r="V13" s="567"/>
      <c r="W13" s="567"/>
      <c r="X13" s="567"/>
      <c r="Y13" s="590"/>
      <c r="Z13" s="567"/>
      <c r="AA13" s="568"/>
      <c r="AB13" s="591"/>
      <c r="AC13" s="568"/>
      <c r="AD13" s="568"/>
      <c r="AE13" s="572"/>
      <c r="AF13" s="592"/>
      <c r="AG13" s="593"/>
      <c r="AH13" s="578"/>
      <c r="AI13" s="579"/>
    </row>
    <row r="14" spans="1:36" ht="14.25" customHeight="1">
      <c r="A14" s="594" t="s">
        <v>15</v>
      </c>
      <c r="B14" s="567"/>
      <c r="C14" s="567"/>
      <c r="D14" s="567"/>
      <c r="E14" s="567"/>
      <c r="F14" s="568"/>
      <c r="G14" s="567"/>
      <c r="H14" s="567"/>
      <c r="I14" s="567"/>
      <c r="J14" s="567"/>
      <c r="K14" s="567"/>
      <c r="L14" s="567"/>
      <c r="M14" s="567"/>
      <c r="N14" s="567"/>
      <c r="O14" s="567"/>
      <c r="P14" s="567"/>
      <c r="Q14" s="567"/>
      <c r="R14" s="567"/>
      <c r="S14" s="567"/>
      <c r="T14" s="567"/>
      <c r="U14" s="567"/>
      <c r="V14" s="567"/>
      <c r="W14" s="567"/>
      <c r="X14" s="567"/>
      <c r="Y14" s="590"/>
      <c r="Z14" s="567"/>
      <c r="AA14" s="568"/>
      <c r="AB14" s="591"/>
      <c r="AC14" s="568"/>
      <c r="AD14" s="568"/>
      <c r="AE14" s="572"/>
      <c r="AF14" s="592"/>
      <c r="AG14" s="593"/>
      <c r="AH14" s="578"/>
      <c r="AI14" s="579"/>
    </row>
    <row r="15" spans="1:36" ht="14.25" customHeight="1">
      <c r="A15" s="495" t="s">
        <v>1495</v>
      </c>
      <c r="B15" s="435"/>
      <c r="C15" s="435"/>
      <c r="D15" s="435"/>
      <c r="E15" s="1007"/>
      <c r="F15" s="435"/>
      <c r="G15" s="1007"/>
      <c r="H15" s="567"/>
      <c r="I15" s="567"/>
      <c r="J15" s="567"/>
      <c r="K15" s="567"/>
      <c r="L15" s="567"/>
      <c r="M15" s="567"/>
      <c r="N15" s="567"/>
      <c r="O15" s="567"/>
      <c r="P15" s="567"/>
      <c r="Q15" s="567"/>
      <c r="R15" s="567"/>
      <c r="S15" s="567"/>
      <c r="T15" s="567"/>
      <c r="U15" s="567"/>
      <c r="V15" s="567"/>
      <c r="W15" s="567"/>
      <c r="X15" s="567"/>
      <c r="Y15" s="2348"/>
      <c r="Z15" s="567"/>
      <c r="AA15" s="568"/>
      <c r="AB15" s="2349"/>
      <c r="AC15" s="568"/>
      <c r="AD15" s="568"/>
      <c r="AE15" s="572"/>
      <c r="AF15" s="592"/>
      <c r="AG15" s="593"/>
      <c r="AH15" s="578"/>
      <c r="AI15" s="579"/>
    </row>
    <row r="16" spans="1:36" ht="14.25" customHeight="1">
      <c r="A16" s="2661" t="s">
        <v>1500</v>
      </c>
      <c r="B16" s="1245">
        <v>1338.3</v>
      </c>
      <c r="C16" s="1160"/>
      <c r="D16" s="1245">
        <v>525.5</v>
      </c>
      <c r="E16" s="1160"/>
      <c r="F16" s="1245">
        <v>1061.2</v>
      </c>
      <c r="G16" s="227"/>
      <c r="H16" s="323">
        <v>641.4</v>
      </c>
      <c r="I16" s="567"/>
      <c r="J16" s="323">
        <v>597.6</v>
      </c>
      <c r="K16" s="567"/>
      <c r="L16" s="568">
        <v>1057.5999999999999</v>
      </c>
      <c r="M16" s="567"/>
      <c r="N16" s="567">
        <v>621.79999999999995</v>
      </c>
      <c r="O16" s="567"/>
      <c r="P16" s="567"/>
      <c r="Q16" s="567"/>
      <c r="R16" s="567"/>
      <c r="S16" s="567"/>
      <c r="T16" s="567"/>
      <c r="U16" s="567"/>
      <c r="V16" s="567"/>
      <c r="W16" s="567"/>
      <c r="X16" s="567"/>
      <c r="Y16" s="2348"/>
      <c r="Z16" s="567"/>
      <c r="AA16" s="265">
        <f>ROUND(SUM(B16:X16),1)</f>
        <v>5843.4</v>
      </c>
      <c r="AB16" s="2349"/>
      <c r="AC16" s="568"/>
      <c r="AD16" s="568">
        <v>5995.2</v>
      </c>
      <c r="AE16" s="572"/>
      <c r="AF16" s="592"/>
      <c r="AG16" s="603">
        <f>ROUND(SUM(AA16-AD16),1)</f>
        <v>-151.80000000000001</v>
      </c>
      <c r="AH16" s="578"/>
      <c r="AI16" s="3234">
        <f>ROUND(IF(AD16=0,0,AG16/(AD16)),3)</f>
        <v>-2.5000000000000001E-2</v>
      </c>
    </row>
    <row r="17" spans="1:35" ht="6" customHeight="1">
      <c r="A17" s="2661"/>
      <c r="B17" s="1245"/>
      <c r="C17" s="1160"/>
      <c r="D17" s="1245"/>
      <c r="E17" s="1160"/>
      <c r="F17" s="1245"/>
      <c r="G17" s="227"/>
      <c r="H17" s="323"/>
      <c r="I17" s="567"/>
      <c r="J17" s="323"/>
      <c r="K17" s="567"/>
      <c r="L17" s="567"/>
      <c r="M17" s="567"/>
      <c r="N17" s="567"/>
      <c r="O17" s="567"/>
      <c r="P17" s="567"/>
      <c r="Q17" s="567"/>
      <c r="R17" s="567"/>
      <c r="S17" s="567"/>
      <c r="T17" s="567"/>
      <c r="U17" s="567"/>
      <c r="V17" s="567"/>
      <c r="W17" s="567"/>
      <c r="X17" s="567"/>
      <c r="Y17" s="3098"/>
      <c r="Z17" s="567"/>
      <c r="AA17" s="265"/>
      <c r="AB17" s="3101"/>
      <c r="AC17" s="568"/>
      <c r="AD17" s="568"/>
      <c r="AE17" s="572"/>
      <c r="AF17" s="592"/>
      <c r="AG17" s="603"/>
      <c r="AH17" s="578"/>
      <c r="AI17" s="3234"/>
    </row>
    <row r="18" spans="1:35" ht="14.25" customHeight="1">
      <c r="A18" s="2346" t="s">
        <v>1569</v>
      </c>
      <c r="B18" s="277"/>
      <c r="C18" s="265"/>
      <c r="D18" s="277"/>
      <c r="E18" s="265"/>
      <c r="F18" s="277"/>
      <c r="G18" s="265"/>
      <c r="H18" s="320"/>
      <c r="I18" s="567"/>
      <c r="J18" s="567"/>
      <c r="K18" s="567"/>
      <c r="L18" s="567"/>
      <c r="M18" s="567"/>
      <c r="N18" s="567"/>
      <c r="O18" s="567"/>
      <c r="P18" s="567"/>
      <c r="Q18" s="567"/>
      <c r="R18" s="567"/>
      <c r="S18" s="567"/>
      <c r="T18" s="567"/>
      <c r="U18" s="567"/>
      <c r="V18" s="567"/>
      <c r="W18" s="567"/>
      <c r="X18" s="567"/>
      <c r="Y18" s="2348"/>
      <c r="Z18" s="567"/>
      <c r="AA18" s="277"/>
      <c r="AB18" s="2349"/>
      <c r="AC18" s="568"/>
      <c r="AD18" s="568"/>
      <c r="AE18" s="572"/>
      <c r="AF18" s="592"/>
      <c r="AG18" s="593"/>
      <c r="AH18" s="578"/>
      <c r="AI18" s="3274"/>
    </row>
    <row r="19" spans="1:35" ht="14.25" customHeight="1">
      <c r="A19" s="1313" t="s">
        <v>1515</v>
      </c>
      <c r="B19" s="1160">
        <v>431.7</v>
      </c>
      <c r="C19" s="1160"/>
      <c r="D19" s="1160">
        <v>456.2</v>
      </c>
      <c r="E19" s="1160"/>
      <c r="F19" s="1160">
        <v>601.9</v>
      </c>
      <c r="G19" s="265"/>
      <c r="H19" s="2314">
        <v>469.1</v>
      </c>
      <c r="I19" s="567"/>
      <c r="J19" s="567">
        <v>466</v>
      </c>
      <c r="K19" s="567"/>
      <c r="L19" s="567">
        <v>619.70000000000005</v>
      </c>
      <c r="M19" s="567"/>
      <c r="N19" s="567">
        <v>465.7</v>
      </c>
      <c r="O19" s="567"/>
      <c r="P19" s="567"/>
      <c r="Q19" s="567"/>
      <c r="R19" s="567"/>
      <c r="S19" s="567"/>
      <c r="T19" s="567"/>
      <c r="U19" s="567"/>
      <c r="V19" s="567"/>
      <c r="W19" s="567"/>
      <c r="X19" s="567"/>
      <c r="Y19" s="2348"/>
      <c r="Z19" s="567"/>
      <c r="AA19" s="265">
        <f>ROUND(SUM(B19:X19),1)</f>
        <v>3510.3</v>
      </c>
      <c r="AB19" s="2349"/>
      <c r="AC19" s="568"/>
      <c r="AD19" s="568">
        <v>3413.1</v>
      </c>
      <c r="AE19" s="572"/>
      <c r="AF19" s="592"/>
      <c r="AG19" s="603">
        <f>ROUND(SUM(AA19-AD19),1)</f>
        <v>97.2</v>
      </c>
      <c r="AH19" s="578"/>
      <c r="AI19" s="3234">
        <f>ROUND(IF(AD19=0,0,AG19/(AD19)),3)</f>
        <v>2.8000000000000001E-2</v>
      </c>
    </row>
    <row r="20" spans="1:35" ht="14.25" customHeight="1">
      <c r="A20" s="594" t="s">
        <v>1514</v>
      </c>
      <c r="B20" s="1327">
        <f>ROUND(SUM(B19:B19),1)</f>
        <v>431.7</v>
      </c>
      <c r="C20" s="2154"/>
      <c r="D20" s="1327">
        <f>ROUND(SUM(D19:D19),1)</f>
        <v>456.2</v>
      </c>
      <c r="E20" s="2154"/>
      <c r="F20" s="1327">
        <f>ROUND(SUM(F19:F19),1)</f>
        <v>601.9</v>
      </c>
      <c r="G20" s="2154"/>
      <c r="H20" s="1327">
        <f>ROUND(SUM(H19:H19),1)</f>
        <v>469.1</v>
      </c>
      <c r="I20" s="567"/>
      <c r="J20" s="1327">
        <f>ROUND(SUM(J19:J19),1)</f>
        <v>466</v>
      </c>
      <c r="K20" s="567"/>
      <c r="L20" s="1327">
        <f>ROUND(SUM(L19:L19),1)</f>
        <v>619.70000000000005</v>
      </c>
      <c r="M20" s="567"/>
      <c r="N20" s="1327">
        <f>ROUND(SUM(N19:N19),1)</f>
        <v>465.7</v>
      </c>
      <c r="O20" s="567"/>
      <c r="P20" s="1327">
        <f>ROUND(SUM(P19:P19),1)</f>
        <v>0</v>
      </c>
      <c r="Q20" s="567"/>
      <c r="R20" s="1327">
        <f>ROUND(SUM(R19:R19),1)</f>
        <v>0</v>
      </c>
      <c r="S20" s="567"/>
      <c r="T20" s="1327">
        <f>ROUND(SUM(T19:T19),1)</f>
        <v>0</v>
      </c>
      <c r="U20" s="567"/>
      <c r="V20" s="1327">
        <f>ROUND(SUM(V19:V19),1)</f>
        <v>0</v>
      </c>
      <c r="W20" s="567"/>
      <c r="X20" s="1327">
        <f>ROUND(SUM(X19:X19),1)</f>
        <v>0</v>
      </c>
      <c r="Y20" s="2348"/>
      <c r="Z20" s="567"/>
      <c r="AA20" s="489">
        <f>ROUND(SUM(AA19:AA19),1)</f>
        <v>3510.3</v>
      </c>
      <c r="AB20" s="2349"/>
      <c r="AC20" s="568"/>
      <c r="AD20" s="489">
        <f>ROUND(SUM(AD19:AD19),1)</f>
        <v>3413.1</v>
      </c>
      <c r="AE20" s="572"/>
      <c r="AF20" s="592"/>
      <c r="AG20" s="2515">
        <f>ROUND(SUM(AA20-AD20),1)</f>
        <v>97.2</v>
      </c>
      <c r="AH20" s="588"/>
      <c r="AI20" s="3253">
        <f>ROUND(IF(AD20=0,0,AG20/(AD20)),3)</f>
        <v>2.8000000000000001E-2</v>
      </c>
    </row>
    <row r="21" spans="1:35" ht="14.25" customHeight="1">
      <c r="A21" s="2346" t="s">
        <v>1571</v>
      </c>
      <c r="B21" s="277"/>
      <c r="C21" s="2154"/>
      <c r="D21" s="277"/>
      <c r="E21" s="2154"/>
      <c r="F21" s="277"/>
      <c r="G21" s="2154"/>
      <c r="H21" s="320"/>
      <c r="I21" s="567"/>
      <c r="J21" s="567"/>
      <c r="K21" s="567"/>
      <c r="L21" s="567"/>
      <c r="M21" s="567"/>
      <c r="N21" s="567"/>
      <c r="O21" s="567"/>
      <c r="P21" s="567"/>
      <c r="Q21" s="567"/>
      <c r="R21" s="567"/>
      <c r="S21" s="567"/>
      <c r="T21" s="567"/>
      <c r="U21" s="567"/>
      <c r="V21" s="567"/>
      <c r="W21" s="567"/>
      <c r="X21" s="567"/>
      <c r="Y21" s="2348"/>
      <c r="Z21" s="567"/>
      <c r="AA21" s="277"/>
      <c r="AB21" s="2349"/>
      <c r="AC21" s="568"/>
      <c r="AD21" s="568"/>
      <c r="AE21" s="572"/>
      <c r="AF21" s="592"/>
      <c r="AG21" s="593"/>
      <c r="AH21" s="578"/>
      <c r="AI21" s="3274"/>
    </row>
    <row r="22" spans="1:35" ht="14.25" customHeight="1">
      <c r="A22" s="1313" t="s">
        <v>1533</v>
      </c>
      <c r="B22" s="1245">
        <v>73.3</v>
      </c>
      <c r="C22" s="1160"/>
      <c r="D22" s="1245">
        <v>72.900000000000006</v>
      </c>
      <c r="E22" s="1160"/>
      <c r="F22" s="1245">
        <v>78.099999999999994</v>
      </c>
      <c r="G22" s="2154"/>
      <c r="H22" s="2314">
        <v>69.400000000000006</v>
      </c>
      <c r="I22" s="567"/>
      <c r="J22" s="567">
        <v>84</v>
      </c>
      <c r="K22" s="567"/>
      <c r="L22" s="567">
        <v>75.099999999999994</v>
      </c>
      <c r="M22" s="567"/>
      <c r="N22" s="567">
        <v>80.8</v>
      </c>
      <c r="O22" s="567"/>
      <c r="P22" s="567"/>
      <c r="Q22" s="567"/>
      <c r="R22" s="567"/>
      <c r="S22" s="567"/>
      <c r="T22" s="567"/>
      <c r="U22" s="567"/>
      <c r="V22" s="567"/>
      <c r="W22" s="567"/>
      <c r="X22" s="567"/>
      <c r="Y22" s="2348"/>
      <c r="Z22" s="567"/>
      <c r="AA22" s="265">
        <f>ROUND(SUM(B22:X22),1)</f>
        <v>533.6</v>
      </c>
      <c r="AB22" s="2349"/>
      <c r="AC22" s="568"/>
      <c r="AD22" s="568">
        <v>451.3</v>
      </c>
      <c r="AE22" s="572"/>
      <c r="AF22" s="592"/>
      <c r="AG22" s="603">
        <f>ROUND(SUM(AA22-AD22),1)</f>
        <v>82.3</v>
      </c>
      <c r="AH22" s="578"/>
      <c r="AI22" s="3234">
        <f>ROUND(IF(AD22=0,0,AG22/(AD22)),3)</f>
        <v>0.182</v>
      </c>
    </row>
    <row r="23" spans="1:35" ht="14.25" customHeight="1">
      <c r="A23" s="594" t="s">
        <v>1528</v>
      </c>
      <c r="B23" s="2626">
        <f>ROUND(SUM(B22:B22),1)</f>
        <v>73.3</v>
      </c>
      <c r="C23" s="2154"/>
      <c r="D23" s="489">
        <f>ROUND(SUM(D22:D22),1)</f>
        <v>72.900000000000006</v>
      </c>
      <c r="E23" s="2154"/>
      <c r="F23" s="489">
        <f>ROUND(SUM(F22:F22),1)</f>
        <v>78.099999999999994</v>
      </c>
      <c r="G23" s="2154"/>
      <c r="H23" s="489">
        <f>ROUND(SUM(H22:H22),1)</f>
        <v>69.400000000000006</v>
      </c>
      <c r="I23" s="567"/>
      <c r="J23" s="489">
        <f>ROUND(SUM(J22:J22),1)</f>
        <v>84</v>
      </c>
      <c r="K23" s="567"/>
      <c r="L23" s="489">
        <f>ROUND(SUM(L22:L22),1)</f>
        <v>75.099999999999994</v>
      </c>
      <c r="M23" s="567"/>
      <c r="N23" s="489">
        <f>ROUND(SUM(N22:N22),1)</f>
        <v>80.8</v>
      </c>
      <c r="O23" s="567"/>
      <c r="P23" s="489">
        <f>ROUND(SUM(P22:P22),1)</f>
        <v>0</v>
      </c>
      <c r="Q23" s="567"/>
      <c r="R23" s="489">
        <f>ROUND(SUM(R22:R22),1)</f>
        <v>0</v>
      </c>
      <c r="S23" s="567"/>
      <c r="T23" s="489">
        <f>ROUND(SUM(T22:T22),1)</f>
        <v>0</v>
      </c>
      <c r="U23" s="567"/>
      <c r="V23" s="489">
        <f>ROUND(SUM(V22:V22),1)</f>
        <v>0</v>
      </c>
      <c r="W23" s="567"/>
      <c r="X23" s="489">
        <f>ROUND(SUM(X22:X22),1)</f>
        <v>0</v>
      </c>
      <c r="Y23" s="2348"/>
      <c r="Z23" s="567"/>
      <c r="AA23" s="489">
        <f>SUM(AA22:AA22)</f>
        <v>533.6</v>
      </c>
      <c r="AB23" s="2349"/>
      <c r="AC23" s="568"/>
      <c r="AD23" s="489">
        <f>SUM(AD22:AD22)</f>
        <v>451.3</v>
      </c>
      <c r="AE23" s="572"/>
      <c r="AF23" s="592"/>
      <c r="AG23" s="2628">
        <f>ROUND(SUM(AA23-AD23),1)</f>
        <v>82.3</v>
      </c>
      <c r="AH23" s="588"/>
      <c r="AI23" s="3275">
        <f>ROUND(IF(AD23=0,0,AG23/(AD23)),3)</f>
        <v>0.182</v>
      </c>
    </row>
    <row r="24" spans="1:35" ht="14.25" customHeight="1">
      <c r="A24" s="594"/>
      <c r="B24" s="2626"/>
      <c r="C24" s="2154"/>
      <c r="D24" s="277"/>
      <c r="E24" s="2154"/>
      <c r="F24" s="277"/>
      <c r="G24" s="277"/>
      <c r="H24" s="277"/>
      <c r="I24" s="570"/>
      <c r="J24" s="277"/>
      <c r="K24" s="570"/>
      <c r="L24" s="277"/>
      <c r="M24" s="570"/>
      <c r="N24" s="277"/>
      <c r="O24" s="570"/>
      <c r="P24" s="277"/>
      <c r="Q24" s="570"/>
      <c r="R24" s="320"/>
      <c r="S24" s="570"/>
      <c r="T24" s="320"/>
      <c r="U24" s="570"/>
      <c r="V24" s="320"/>
      <c r="W24" s="570"/>
      <c r="X24" s="320"/>
      <c r="Y24" s="2348"/>
      <c r="Z24" s="567"/>
      <c r="AA24" s="277"/>
      <c r="AB24" s="2349"/>
      <c r="AC24" s="568"/>
      <c r="AD24" s="593"/>
      <c r="AE24" s="572"/>
      <c r="AF24" s="592"/>
      <c r="AG24" s="593"/>
      <c r="AH24" s="578"/>
      <c r="AI24" s="3276"/>
    </row>
    <row r="25" spans="1:35" ht="14.25" customHeight="1">
      <c r="A25" s="594" t="s">
        <v>1529</v>
      </c>
      <c r="B25" s="631">
        <f>ROUND(SUM(B16+B20+B23),1)</f>
        <v>1843.3</v>
      </c>
      <c r="C25" s="265"/>
      <c r="D25" s="631">
        <f>ROUND(SUM(D16+D20+D23),1)</f>
        <v>1054.5999999999999</v>
      </c>
      <c r="E25" s="265"/>
      <c r="F25" s="631">
        <f>ROUND(SUM(F16+F20+F23),1)</f>
        <v>1741.2</v>
      </c>
      <c r="G25" s="265"/>
      <c r="H25" s="631">
        <f>ROUND(SUM(H16+H20+H23),1)</f>
        <v>1179.9000000000001</v>
      </c>
      <c r="I25" s="567"/>
      <c r="J25" s="631">
        <f>ROUND(SUM(J16+J20+J23),1)</f>
        <v>1147.5999999999999</v>
      </c>
      <c r="K25" s="567"/>
      <c r="L25" s="631">
        <f>ROUND(SUM(L16+L20+L23),1)</f>
        <v>1752.4</v>
      </c>
      <c r="M25" s="567"/>
      <c r="N25" s="631">
        <f>ROUND(SUM(N16+N20+N23),1)</f>
        <v>1168.3</v>
      </c>
      <c r="O25" s="567"/>
      <c r="P25" s="631">
        <f>ROUND(SUM(P16+P20+P23),1)</f>
        <v>0</v>
      </c>
      <c r="Q25" s="567"/>
      <c r="R25" s="631">
        <f>ROUND(SUM(R16+R20+R23),1)</f>
        <v>0</v>
      </c>
      <c r="S25" s="567"/>
      <c r="T25" s="631">
        <f>ROUND(SUM(T16+T20+T23),1)</f>
        <v>0</v>
      </c>
      <c r="U25" s="567"/>
      <c r="V25" s="631">
        <f>ROUND(SUM(V16+V20+V23),1)</f>
        <v>0</v>
      </c>
      <c r="W25" s="567"/>
      <c r="X25" s="631">
        <f>ROUND(SUM(X16+X20+X23),1)</f>
        <v>0</v>
      </c>
      <c r="Y25" s="2348"/>
      <c r="Z25" s="567"/>
      <c r="AA25" s="631">
        <f>ROUND(SUM(AA16+AA20+AA23),1)</f>
        <v>9887.2999999999993</v>
      </c>
      <c r="AB25" s="2349"/>
      <c r="AC25" s="568"/>
      <c r="AD25" s="631">
        <f>ROUND(SUM(AD16+AD20+AD23),1)</f>
        <v>9859.6</v>
      </c>
      <c r="AE25" s="572"/>
      <c r="AF25" s="592"/>
      <c r="AG25" s="631">
        <f>ROUND(SUM(AG16+AG20+AG23),1)</f>
        <v>27.7</v>
      </c>
      <c r="AH25" s="588"/>
      <c r="AI25" s="3277">
        <f>ROUND(IF(AD25=0,0,AG25/(AD25)),3)</f>
        <v>3.0000000000000001E-3</v>
      </c>
    </row>
    <row r="26" spans="1:35" ht="14.25" customHeight="1">
      <c r="A26" s="495"/>
      <c r="B26" s="265"/>
      <c r="C26" s="265"/>
      <c r="D26" s="265"/>
      <c r="E26" s="265"/>
      <c r="F26" s="265"/>
      <c r="G26" s="265"/>
      <c r="H26" s="323"/>
      <c r="I26" s="567"/>
      <c r="J26" s="567"/>
      <c r="K26" s="567"/>
      <c r="L26" s="567"/>
      <c r="M26" s="567"/>
      <c r="N26" s="567"/>
      <c r="O26" s="567"/>
      <c r="P26" s="567"/>
      <c r="Q26" s="567"/>
      <c r="R26" s="567"/>
      <c r="S26" s="567"/>
      <c r="T26" s="567"/>
      <c r="U26" s="567"/>
      <c r="V26" s="567"/>
      <c r="W26" s="567"/>
      <c r="X26" s="567"/>
      <c r="Y26" s="2348"/>
      <c r="Z26" s="567"/>
      <c r="AA26" s="568"/>
      <c r="AB26" s="2349"/>
      <c r="AC26" s="568"/>
      <c r="AD26" s="568"/>
      <c r="AE26" s="572"/>
      <c r="AF26" s="592"/>
      <c r="AG26" s="593"/>
      <c r="AH26" s="578"/>
      <c r="AI26" s="3274"/>
    </row>
    <row r="27" spans="1:35" ht="14.25" customHeight="1">
      <c r="A27" s="495" t="s">
        <v>1428</v>
      </c>
      <c r="B27" s="606"/>
      <c r="C27" s="597"/>
      <c r="D27" s="597"/>
      <c r="E27" s="597"/>
      <c r="F27" s="596"/>
      <c r="G27" s="597"/>
      <c r="H27" s="598"/>
      <c r="I27" s="597"/>
      <c r="J27" s="597"/>
      <c r="K27" s="597"/>
      <c r="L27" s="597"/>
      <c r="M27" s="597"/>
      <c r="N27" s="597"/>
      <c r="O27" s="597"/>
      <c r="P27" s="596"/>
      <c r="Q27" s="597"/>
      <c r="R27" s="596"/>
      <c r="S27" s="597"/>
      <c r="T27" s="599"/>
      <c r="U27" s="597"/>
      <c r="V27" s="596"/>
      <c r="W27" s="597"/>
      <c r="X27" s="596"/>
      <c r="Y27" s="2250"/>
      <c r="Z27" s="597"/>
      <c r="AA27" s="596"/>
      <c r="AB27" s="2250"/>
      <c r="AC27" s="597"/>
      <c r="AD27" s="597"/>
      <c r="AE27" s="601"/>
      <c r="AF27" s="602"/>
      <c r="AG27" s="603"/>
      <c r="AH27" s="578"/>
      <c r="AI27" s="3278"/>
    </row>
    <row r="28" spans="1:35" ht="14.25" customHeight="1">
      <c r="A28" s="1979" t="s">
        <v>1567</v>
      </c>
      <c r="B28" s="606"/>
      <c r="C28" s="597"/>
      <c r="D28" s="597"/>
      <c r="E28" s="597"/>
      <c r="F28" s="596"/>
      <c r="G28" s="597"/>
      <c r="H28" s="598"/>
      <c r="I28" s="597"/>
      <c r="J28" s="597"/>
      <c r="K28" s="597"/>
      <c r="L28" s="597"/>
      <c r="M28" s="597"/>
      <c r="N28" s="597"/>
      <c r="O28" s="597"/>
      <c r="P28" s="596"/>
      <c r="Q28" s="597"/>
      <c r="R28" s="596"/>
      <c r="S28" s="597"/>
      <c r="T28" s="599"/>
      <c r="U28" s="597"/>
      <c r="V28" s="596"/>
      <c r="W28" s="597"/>
      <c r="X28" s="596"/>
      <c r="Y28" s="3096"/>
      <c r="Z28" s="597"/>
      <c r="AA28" s="596"/>
      <c r="AB28" s="3096"/>
      <c r="AC28" s="597"/>
      <c r="AD28" s="597"/>
      <c r="AE28" s="601"/>
      <c r="AF28" s="602"/>
      <c r="AG28" s="603"/>
      <c r="AH28" s="578"/>
      <c r="AI28" s="3278"/>
    </row>
    <row r="29" spans="1:35" ht="14.25" customHeight="1">
      <c r="A29" s="1979" t="s">
        <v>1435</v>
      </c>
      <c r="B29" s="606">
        <v>0</v>
      </c>
      <c r="C29" s="597"/>
      <c r="D29" s="606">
        <v>0</v>
      </c>
      <c r="E29" s="597"/>
      <c r="F29" s="606">
        <v>0</v>
      </c>
      <c r="G29" s="597"/>
      <c r="H29" s="606">
        <v>0</v>
      </c>
      <c r="I29" s="597"/>
      <c r="J29" s="606">
        <v>0</v>
      </c>
      <c r="K29" s="597"/>
      <c r="L29" s="597">
        <v>0</v>
      </c>
      <c r="M29" s="597"/>
      <c r="N29" s="597">
        <v>0</v>
      </c>
      <c r="O29" s="597"/>
      <c r="P29" s="596"/>
      <c r="Q29" s="597"/>
      <c r="R29" s="596"/>
      <c r="S29" s="597"/>
      <c r="T29" s="599"/>
      <c r="U29" s="597"/>
      <c r="V29" s="596"/>
      <c r="W29" s="597"/>
      <c r="X29" s="596"/>
      <c r="Y29" s="3096"/>
      <c r="Z29" s="597"/>
      <c r="AA29" s="596">
        <f t="shared" ref="AA29:AA34" si="0">ROUND(SUM(B29:X29),1)</f>
        <v>0</v>
      </c>
      <c r="AB29" s="3096"/>
      <c r="AC29" s="597"/>
      <c r="AD29" s="597">
        <v>0</v>
      </c>
      <c r="AE29" s="601"/>
      <c r="AF29" s="602"/>
      <c r="AG29" s="603">
        <f t="shared" ref="AG29:AG37" si="1">ROUND(SUM(AA29-AD29),1)</f>
        <v>0</v>
      </c>
      <c r="AH29" s="578"/>
      <c r="AI29" s="3234">
        <f t="shared" ref="AI29:AI37" si="2">ROUND(IF(AD29=0,0,AG29/(AD29)),3)</f>
        <v>0</v>
      </c>
    </row>
    <row r="30" spans="1:35" ht="14.25" customHeight="1">
      <c r="A30" s="1979" t="s">
        <v>1436</v>
      </c>
      <c r="B30" s="606">
        <v>0</v>
      </c>
      <c r="C30" s="597"/>
      <c r="D30" s="606">
        <v>0</v>
      </c>
      <c r="E30" s="597"/>
      <c r="F30" s="606">
        <v>0</v>
      </c>
      <c r="G30" s="597"/>
      <c r="H30" s="606">
        <v>0</v>
      </c>
      <c r="I30" s="597"/>
      <c r="J30" s="606">
        <v>0</v>
      </c>
      <c r="K30" s="597"/>
      <c r="L30" s="597">
        <v>0</v>
      </c>
      <c r="M30" s="597"/>
      <c r="N30" s="597">
        <v>0</v>
      </c>
      <c r="O30" s="597"/>
      <c r="P30" s="596"/>
      <c r="Q30" s="597"/>
      <c r="R30" s="596"/>
      <c r="S30" s="597"/>
      <c r="T30" s="599"/>
      <c r="U30" s="597"/>
      <c r="V30" s="596"/>
      <c r="W30" s="597"/>
      <c r="X30" s="596"/>
      <c r="Y30" s="3096"/>
      <c r="Z30" s="597"/>
      <c r="AA30" s="596">
        <f t="shared" si="0"/>
        <v>0</v>
      </c>
      <c r="AB30" s="3096"/>
      <c r="AC30" s="597"/>
      <c r="AD30" s="597">
        <v>0</v>
      </c>
      <c r="AE30" s="601"/>
      <c r="AF30" s="602"/>
      <c r="AG30" s="603">
        <f t="shared" si="1"/>
        <v>0</v>
      </c>
      <c r="AH30" s="578"/>
      <c r="AI30" s="3234">
        <f t="shared" si="2"/>
        <v>0</v>
      </c>
    </row>
    <row r="31" spans="1:35" ht="14.25" customHeight="1">
      <c r="A31" s="1979" t="s">
        <v>1437</v>
      </c>
      <c r="B31" s="606">
        <v>0</v>
      </c>
      <c r="C31" s="597"/>
      <c r="D31" s="606">
        <v>0</v>
      </c>
      <c r="E31" s="597"/>
      <c r="F31" s="606">
        <v>0</v>
      </c>
      <c r="G31" s="597"/>
      <c r="H31" s="606">
        <v>0</v>
      </c>
      <c r="I31" s="597"/>
      <c r="J31" s="606">
        <v>0</v>
      </c>
      <c r="K31" s="597"/>
      <c r="L31" s="597">
        <v>0</v>
      </c>
      <c r="M31" s="597"/>
      <c r="N31" s="597">
        <v>0</v>
      </c>
      <c r="O31" s="597"/>
      <c r="P31" s="596"/>
      <c r="Q31" s="597"/>
      <c r="R31" s="596"/>
      <c r="S31" s="597"/>
      <c r="T31" s="599"/>
      <c r="U31" s="597"/>
      <c r="V31" s="596"/>
      <c r="W31" s="597"/>
      <c r="X31" s="596"/>
      <c r="Y31" s="3096"/>
      <c r="Z31" s="597"/>
      <c r="AA31" s="596">
        <f t="shared" si="0"/>
        <v>0</v>
      </c>
      <c r="AB31" s="3096"/>
      <c r="AC31" s="597"/>
      <c r="AD31" s="597">
        <v>0</v>
      </c>
      <c r="AE31" s="601"/>
      <c r="AF31" s="602"/>
      <c r="AG31" s="603">
        <f t="shared" si="1"/>
        <v>0</v>
      </c>
      <c r="AH31" s="578"/>
      <c r="AI31" s="3234">
        <f t="shared" si="2"/>
        <v>0</v>
      </c>
    </row>
    <row r="32" spans="1:35" ht="14.25" customHeight="1">
      <c r="A32" s="1979" t="s">
        <v>1438</v>
      </c>
      <c r="B32" s="606">
        <v>0</v>
      </c>
      <c r="C32" s="597"/>
      <c r="D32" s="606">
        <v>0</v>
      </c>
      <c r="E32" s="597"/>
      <c r="F32" s="606">
        <v>0</v>
      </c>
      <c r="G32" s="597"/>
      <c r="H32" s="606">
        <v>0</v>
      </c>
      <c r="I32" s="597"/>
      <c r="J32" s="606">
        <v>0</v>
      </c>
      <c r="K32" s="597"/>
      <c r="L32" s="597">
        <v>0</v>
      </c>
      <c r="M32" s="597"/>
      <c r="N32" s="597">
        <v>0</v>
      </c>
      <c r="O32" s="597"/>
      <c r="P32" s="596"/>
      <c r="Q32" s="597"/>
      <c r="R32" s="596"/>
      <c r="S32" s="597"/>
      <c r="T32" s="599"/>
      <c r="U32" s="597"/>
      <c r="V32" s="596"/>
      <c r="W32" s="597"/>
      <c r="X32" s="596"/>
      <c r="Y32" s="3096"/>
      <c r="Z32" s="597"/>
      <c r="AA32" s="596">
        <f t="shared" si="0"/>
        <v>0</v>
      </c>
      <c r="AB32" s="3096"/>
      <c r="AC32" s="597"/>
      <c r="AD32" s="597">
        <v>0</v>
      </c>
      <c r="AE32" s="601"/>
      <c r="AF32" s="602"/>
      <c r="AG32" s="603">
        <f t="shared" si="1"/>
        <v>0</v>
      </c>
      <c r="AH32" s="578"/>
      <c r="AI32" s="3234">
        <f t="shared" si="2"/>
        <v>0</v>
      </c>
    </row>
    <row r="33" spans="1:36" ht="14.25" customHeight="1">
      <c r="A33" s="1979" t="s">
        <v>1439</v>
      </c>
      <c r="B33" s="606">
        <v>0</v>
      </c>
      <c r="C33" s="597"/>
      <c r="D33" s="606">
        <v>0</v>
      </c>
      <c r="E33" s="597"/>
      <c r="F33" s="606">
        <v>0</v>
      </c>
      <c r="G33" s="597"/>
      <c r="H33" s="606">
        <v>0</v>
      </c>
      <c r="I33" s="597"/>
      <c r="J33" s="606">
        <v>0</v>
      </c>
      <c r="K33" s="597"/>
      <c r="L33" s="597">
        <v>0</v>
      </c>
      <c r="M33" s="597"/>
      <c r="N33" s="597">
        <v>0</v>
      </c>
      <c r="O33" s="597"/>
      <c r="P33" s="596"/>
      <c r="Q33" s="597"/>
      <c r="R33" s="596"/>
      <c r="S33" s="597"/>
      <c r="T33" s="599"/>
      <c r="U33" s="597"/>
      <c r="V33" s="596"/>
      <c r="W33" s="597"/>
      <c r="X33" s="596"/>
      <c r="Y33" s="3096"/>
      <c r="Z33" s="597"/>
      <c r="AA33" s="596">
        <f t="shared" si="0"/>
        <v>0</v>
      </c>
      <c r="AB33" s="3096"/>
      <c r="AC33" s="597"/>
      <c r="AD33" s="597">
        <v>0</v>
      </c>
      <c r="AE33" s="601"/>
      <c r="AF33" s="602"/>
      <c r="AG33" s="603">
        <f t="shared" si="1"/>
        <v>0</v>
      </c>
      <c r="AH33" s="578"/>
      <c r="AI33" s="3234">
        <f t="shared" si="2"/>
        <v>0</v>
      </c>
    </row>
    <row r="34" spans="1:36" ht="14.25" customHeight="1">
      <c r="A34" s="1979" t="s">
        <v>1440</v>
      </c>
      <c r="B34" s="606">
        <v>0</v>
      </c>
      <c r="C34" s="597"/>
      <c r="D34" s="606">
        <v>0</v>
      </c>
      <c r="E34" s="597"/>
      <c r="F34" s="606">
        <v>0</v>
      </c>
      <c r="G34" s="597"/>
      <c r="H34" s="606">
        <v>0</v>
      </c>
      <c r="I34" s="597"/>
      <c r="J34" s="606">
        <v>0</v>
      </c>
      <c r="K34" s="597"/>
      <c r="L34" s="597">
        <v>0</v>
      </c>
      <c r="M34" s="597"/>
      <c r="N34" s="597">
        <v>0</v>
      </c>
      <c r="O34" s="597"/>
      <c r="P34" s="596"/>
      <c r="Q34" s="597"/>
      <c r="R34" s="596"/>
      <c r="S34" s="597"/>
      <c r="T34" s="599"/>
      <c r="U34" s="597"/>
      <c r="V34" s="596"/>
      <c r="W34" s="597"/>
      <c r="X34" s="596"/>
      <c r="Y34" s="3096"/>
      <c r="Z34" s="597"/>
      <c r="AA34" s="596">
        <f t="shared" si="0"/>
        <v>0</v>
      </c>
      <c r="AB34" s="3096"/>
      <c r="AC34" s="597"/>
      <c r="AD34" s="597">
        <v>0</v>
      </c>
      <c r="AE34" s="601"/>
      <c r="AF34" s="602"/>
      <c r="AG34" s="603">
        <f t="shared" si="1"/>
        <v>0</v>
      </c>
      <c r="AH34" s="578"/>
      <c r="AI34" s="3234">
        <f t="shared" si="2"/>
        <v>0</v>
      </c>
    </row>
    <row r="35" spans="1:36" ht="14.25" customHeight="1">
      <c r="A35" s="1979" t="s">
        <v>1430</v>
      </c>
      <c r="B35" s="606">
        <v>0</v>
      </c>
      <c r="C35" s="597"/>
      <c r="D35" s="606">
        <v>0</v>
      </c>
      <c r="E35" s="597"/>
      <c r="F35" s="606">
        <v>0.1</v>
      </c>
      <c r="G35" s="597"/>
      <c r="H35" s="598">
        <v>0</v>
      </c>
      <c r="I35" s="597"/>
      <c r="J35" s="597">
        <v>0.1</v>
      </c>
      <c r="K35" s="597"/>
      <c r="L35" s="597">
        <v>0</v>
      </c>
      <c r="M35" s="597"/>
      <c r="N35" s="597">
        <v>0</v>
      </c>
      <c r="O35" s="597"/>
      <c r="P35" s="596"/>
      <c r="Q35" s="597"/>
      <c r="R35" s="596"/>
      <c r="S35" s="597"/>
      <c r="T35" s="599"/>
      <c r="U35" s="597"/>
      <c r="V35" s="596"/>
      <c r="W35" s="597"/>
      <c r="X35" s="596"/>
      <c r="Y35" s="2250"/>
      <c r="Z35" s="597"/>
      <c r="AA35" s="596">
        <f>ROUND(SUM(B35:X35),1)</f>
        <v>0.2</v>
      </c>
      <c r="AB35" s="2250"/>
      <c r="AC35" s="597"/>
      <c r="AD35" s="597">
        <v>0.2</v>
      </c>
      <c r="AE35" s="601"/>
      <c r="AF35" s="602"/>
      <c r="AG35" s="603">
        <f t="shared" si="1"/>
        <v>0</v>
      </c>
      <c r="AH35" s="578"/>
      <c r="AI35" s="3234">
        <f t="shared" si="2"/>
        <v>0</v>
      </c>
    </row>
    <row r="36" spans="1:36" ht="14.25" customHeight="1">
      <c r="A36" s="1979" t="s">
        <v>1448</v>
      </c>
      <c r="B36" s="606">
        <v>1.9</v>
      </c>
      <c r="C36" s="597"/>
      <c r="D36" s="606">
        <v>0.6</v>
      </c>
      <c r="E36" s="597"/>
      <c r="F36" s="606">
        <v>0</v>
      </c>
      <c r="G36" s="597"/>
      <c r="H36" s="598">
        <v>0.1</v>
      </c>
      <c r="I36" s="597"/>
      <c r="J36" s="597">
        <v>1</v>
      </c>
      <c r="K36" s="597"/>
      <c r="L36" s="597">
        <v>0</v>
      </c>
      <c r="M36" s="597"/>
      <c r="N36" s="597">
        <v>0</v>
      </c>
      <c r="O36" s="597"/>
      <c r="P36" s="596"/>
      <c r="Q36" s="597"/>
      <c r="R36" s="596"/>
      <c r="S36" s="597"/>
      <c r="T36" s="599"/>
      <c r="U36" s="597"/>
      <c r="V36" s="596"/>
      <c r="W36" s="597"/>
      <c r="X36" s="596"/>
      <c r="Y36" s="2250"/>
      <c r="Z36" s="597"/>
      <c r="AA36" s="596">
        <f>ROUND(SUM(B36:X36),1)</f>
        <v>3.6</v>
      </c>
      <c r="AB36" s="2250"/>
      <c r="AC36" s="597"/>
      <c r="AD36" s="597">
        <v>7.5</v>
      </c>
      <c r="AE36" s="601"/>
      <c r="AF36" s="602"/>
      <c r="AG36" s="603">
        <f t="shared" si="1"/>
        <v>-3.9</v>
      </c>
      <c r="AH36" s="578"/>
      <c r="AI36" s="45">
        <f t="shared" si="2"/>
        <v>-0.52</v>
      </c>
    </row>
    <row r="37" spans="1:36" ht="14.25" customHeight="1">
      <c r="A37" s="1979" t="s">
        <v>1449</v>
      </c>
      <c r="B37" s="606">
        <v>0</v>
      </c>
      <c r="C37" s="597"/>
      <c r="D37" s="606">
        <v>0</v>
      </c>
      <c r="E37" s="597"/>
      <c r="F37" s="606">
        <v>0</v>
      </c>
      <c r="G37" s="597"/>
      <c r="H37" s="598">
        <v>0</v>
      </c>
      <c r="I37" s="597"/>
      <c r="J37" s="597">
        <v>0</v>
      </c>
      <c r="K37" s="597"/>
      <c r="L37" s="597">
        <v>0</v>
      </c>
      <c r="M37" s="597"/>
      <c r="N37" s="597">
        <v>0</v>
      </c>
      <c r="O37" s="597"/>
      <c r="P37" s="596"/>
      <c r="Q37" s="597"/>
      <c r="R37" s="596"/>
      <c r="S37" s="597"/>
      <c r="T37" s="599"/>
      <c r="U37" s="597"/>
      <c r="V37" s="596"/>
      <c r="W37" s="597"/>
      <c r="X37" s="596"/>
      <c r="Y37" s="2250"/>
      <c r="Z37" s="597"/>
      <c r="AA37" s="596">
        <f>ROUND(SUM(B37:X37),1)</f>
        <v>0</v>
      </c>
      <c r="AB37" s="2250"/>
      <c r="AC37" s="597"/>
      <c r="AD37" s="597">
        <v>50.3</v>
      </c>
      <c r="AE37" s="601"/>
      <c r="AF37" s="602"/>
      <c r="AG37" s="603">
        <f t="shared" si="1"/>
        <v>-50.3</v>
      </c>
      <c r="AH37" s="578"/>
      <c r="AI37" s="45">
        <f t="shared" si="2"/>
        <v>-1</v>
      </c>
    </row>
    <row r="38" spans="1:36" ht="14.25" customHeight="1">
      <c r="A38" s="1979" t="s">
        <v>1566</v>
      </c>
      <c r="B38" s="606"/>
      <c r="C38" s="597"/>
      <c r="D38" s="606"/>
      <c r="E38" s="597"/>
      <c r="F38" s="606"/>
      <c r="G38" s="597"/>
      <c r="H38" s="598"/>
      <c r="I38" s="597"/>
      <c r="J38" s="597"/>
      <c r="K38" s="597"/>
      <c r="L38" s="597"/>
      <c r="M38" s="597"/>
      <c r="N38" s="597"/>
      <c r="O38" s="597"/>
      <c r="P38" s="596"/>
      <c r="Q38" s="597"/>
      <c r="R38" s="596"/>
      <c r="S38" s="597"/>
      <c r="T38" s="599"/>
      <c r="U38" s="597"/>
      <c r="V38" s="596"/>
      <c r="W38" s="597"/>
      <c r="X38" s="596"/>
      <c r="Y38" s="2250"/>
      <c r="Z38" s="597"/>
      <c r="AA38" s="596"/>
      <c r="AB38" s="2250"/>
      <c r="AC38" s="597"/>
      <c r="AD38" s="597"/>
      <c r="AE38" s="601"/>
      <c r="AF38" s="602"/>
      <c r="AG38" s="603"/>
      <c r="AH38" s="578"/>
      <c r="AI38" s="604"/>
    </row>
    <row r="39" spans="1:36" ht="14.25" customHeight="1">
      <c r="A39" s="1979" t="s">
        <v>1629</v>
      </c>
      <c r="B39" s="606">
        <v>44.6</v>
      </c>
      <c r="C39" s="597"/>
      <c r="D39" s="606">
        <v>36.9</v>
      </c>
      <c r="E39" s="597"/>
      <c r="F39" s="606">
        <v>35.4</v>
      </c>
      <c r="G39" s="597"/>
      <c r="H39" s="598">
        <v>46.3</v>
      </c>
      <c r="I39" s="597"/>
      <c r="J39" s="597">
        <v>85.9</v>
      </c>
      <c r="K39" s="597"/>
      <c r="L39" s="597">
        <v>32.6</v>
      </c>
      <c r="M39" s="597"/>
      <c r="N39" s="597">
        <v>30.9</v>
      </c>
      <c r="O39" s="597"/>
      <c r="P39" s="596"/>
      <c r="Q39" s="597"/>
      <c r="R39" s="596"/>
      <c r="S39" s="597"/>
      <c r="T39" s="599"/>
      <c r="U39" s="597"/>
      <c r="V39" s="596"/>
      <c r="W39" s="597"/>
      <c r="X39" s="596"/>
      <c r="Y39" s="2250"/>
      <c r="Z39" s="597"/>
      <c r="AA39" s="596">
        <f>ROUND(SUM(B39:X39),1)</f>
        <v>312.60000000000002</v>
      </c>
      <c r="AB39" s="2250"/>
      <c r="AC39" s="597"/>
      <c r="AD39" s="597">
        <v>246.9</v>
      </c>
      <c r="AE39" s="601"/>
      <c r="AF39" s="602"/>
      <c r="AG39" s="603">
        <f>ROUND(SUM(AA39-AD39),1)</f>
        <v>65.7</v>
      </c>
      <c r="AH39" s="578"/>
      <c r="AI39" s="45">
        <f>ROUND(IF(AD39=0,0,AG39/(AD39)),3)</f>
        <v>0.26600000000000001</v>
      </c>
    </row>
    <row r="40" spans="1:36" s="620" customFormat="1" ht="15.75">
      <c r="A40" s="594" t="s">
        <v>1497</v>
      </c>
      <c r="B40" s="260">
        <f>ROUND(SUM(B29:B39),1)</f>
        <v>46.5</v>
      </c>
      <c r="C40" s="2352"/>
      <c r="D40" s="260">
        <f>ROUND(SUM(D29:D39),1)</f>
        <v>37.5</v>
      </c>
      <c r="E40" s="2352"/>
      <c r="F40" s="260">
        <f>ROUND(SUM(F29:F39),1)</f>
        <v>35.5</v>
      </c>
      <c r="G40" s="2352"/>
      <c r="H40" s="260">
        <f>ROUND(SUM(H29:H39),1)</f>
        <v>46.4</v>
      </c>
      <c r="I40" s="615"/>
      <c r="J40" s="260">
        <f>ROUND(SUM(J29:J39),1)</f>
        <v>87</v>
      </c>
      <c r="K40" s="615"/>
      <c r="L40" s="260">
        <f>ROUND(SUM(L29:L39),1)</f>
        <v>32.6</v>
      </c>
      <c r="M40" s="615"/>
      <c r="N40" s="260">
        <f>ROUND(SUM(N29:N39),1)</f>
        <v>30.9</v>
      </c>
      <c r="O40" s="615"/>
      <c r="P40" s="260">
        <f>ROUND(SUM(P29:P39),1)</f>
        <v>0</v>
      </c>
      <c r="Q40" s="615"/>
      <c r="R40" s="260">
        <f>ROUND(SUM(R29:R39),1)</f>
        <v>0</v>
      </c>
      <c r="S40" s="615"/>
      <c r="T40" s="260">
        <f>ROUND(SUM(T29:T39),1)</f>
        <v>0</v>
      </c>
      <c r="U40" s="615"/>
      <c r="V40" s="260">
        <f>ROUND(SUM(V29:V39),1)</f>
        <v>0</v>
      </c>
      <c r="W40" s="615"/>
      <c r="X40" s="260">
        <f>ROUND(SUM(X29:X39),1)</f>
        <v>0</v>
      </c>
      <c r="Y40" s="617"/>
      <c r="Z40" s="615"/>
      <c r="AA40" s="260">
        <f>ROUND(SUM(AA29:AA39),1)</f>
        <v>316.39999999999998</v>
      </c>
      <c r="AB40" s="617"/>
      <c r="AC40" s="615"/>
      <c r="AD40" s="260">
        <f>ROUND(SUM(AD29:AD39),1)</f>
        <v>304.89999999999998</v>
      </c>
      <c r="AE40" s="618"/>
      <c r="AF40" s="619"/>
      <c r="AG40" s="260">
        <f>ROUND(SUM(AG29:AG39),1)</f>
        <v>11.5</v>
      </c>
      <c r="AH40" s="588"/>
      <c r="AI40" s="74">
        <f>ROUND(IF(AD40=0,0,AG40/(AD40)),3)</f>
        <v>3.7999999999999999E-2</v>
      </c>
      <c r="AJ40" s="1047"/>
    </row>
    <row r="41" spans="1:36" s="620" customFormat="1" ht="14.25" customHeight="1">
      <c r="A41" s="594"/>
      <c r="B41" s="277"/>
      <c r="C41" s="2352"/>
      <c r="D41" s="277"/>
      <c r="E41" s="2352"/>
      <c r="F41" s="277"/>
      <c r="G41" s="2352"/>
      <c r="H41" s="2353"/>
      <c r="I41" s="615"/>
      <c r="J41" s="615"/>
      <c r="K41" s="615"/>
      <c r="L41" s="615"/>
      <c r="M41" s="615"/>
      <c r="N41" s="615"/>
      <c r="O41" s="615"/>
      <c r="P41" s="2354"/>
      <c r="Q41" s="615"/>
      <c r="R41" s="2354"/>
      <c r="S41" s="615"/>
      <c r="T41" s="2354"/>
      <c r="U41" s="615"/>
      <c r="V41" s="2354"/>
      <c r="W41" s="615"/>
      <c r="X41" s="2354"/>
      <c r="Y41" s="2351"/>
      <c r="Z41" s="615"/>
      <c r="AA41" s="2354"/>
      <c r="AB41" s="2351"/>
      <c r="AC41" s="615"/>
      <c r="AD41" s="2352"/>
      <c r="AE41" s="618"/>
      <c r="AF41" s="619"/>
      <c r="AG41" s="2352"/>
      <c r="AH41" s="588"/>
      <c r="AI41" s="589"/>
      <c r="AJ41" s="1047"/>
    </row>
    <row r="42" spans="1:36" ht="15">
      <c r="A42" s="1742" t="s">
        <v>1269</v>
      </c>
      <c r="B42" s="2355">
        <v>0</v>
      </c>
      <c r="C42" s="603"/>
      <c r="D42" s="2355">
        <v>0</v>
      </c>
      <c r="E42" s="603"/>
      <c r="F42" s="2356">
        <v>0</v>
      </c>
      <c r="G42" s="597"/>
      <c r="H42" s="608">
        <v>1.5</v>
      </c>
      <c r="I42" s="597"/>
      <c r="J42" s="609">
        <v>35</v>
      </c>
      <c r="K42" s="597"/>
      <c r="L42" s="607">
        <v>0.1</v>
      </c>
      <c r="M42" s="597"/>
      <c r="N42" s="607">
        <v>0</v>
      </c>
      <c r="O42" s="597"/>
      <c r="P42" s="607"/>
      <c r="Q42" s="597"/>
      <c r="R42" s="607"/>
      <c r="S42" s="597"/>
      <c r="T42" s="609"/>
      <c r="U42" s="597"/>
      <c r="V42" s="596"/>
      <c r="W42" s="597"/>
      <c r="X42" s="609"/>
      <c r="Y42" s="600"/>
      <c r="Z42" s="597"/>
      <c r="AA42" s="609">
        <f>ROUND(SUM(B42:X42),1)</f>
        <v>36.6</v>
      </c>
      <c r="AB42" s="600"/>
      <c r="AC42" s="597"/>
      <c r="AD42" s="610">
        <v>34.299999999999997</v>
      </c>
      <c r="AE42" s="601"/>
      <c r="AF42" s="602"/>
      <c r="AG42" s="611">
        <f>ROUND(SUM(AA42-AD42),1)</f>
        <v>2.2999999999999998</v>
      </c>
      <c r="AH42" s="578"/>
      <c r="AI42" s="2004">
        <f>ROUND(IF(AD42=0,0,AG42/(AD42)),3)</f>
        <v>6.7000000000000004E-2</v>
      </c>
    </row>
    <row r="43" spans="1:36" ht="12" customHeight="1">
      <c r="A43" s="567"/>
      <c r="B43" s="597"/>
      <c r="C43" s="597"/>
      <c r="D43" s="597"/>
      <c r="E43" s="597"/>
      <c r="F43" s="603"/>
      <c r="G43" s="597"/>
      <c r="H43" s="613"/>
      <c r="I43" s="597"/>
      <c r="J43" s="612"/>
      <c r="K43" s="597"/>
      <c r="L43" s="613"/>
      <c r="M43" s="597"/>
      <c r="N43" s="612"/>
      <c r="O43" s="597"/>
      <c r="P43" s="612"/>
      <c r="Q43" s="597"/>
      <c r="R43" s="612"/>
      <c r="S43" s="597"/>
      <c r="T43" s="612"/>
      <c r="U43" s="597"/>
      <c r="V43" s="612"/>
      <c r="W43" s="597"/>
      <c r="X43" s="612"/>
      <c r="Y43" s="600"/>
      <c r="Z43" s="597"/>
      <c r="AA43" s="597"/>
      <c r="AB43" s="600"/>
      <c r="AC43" s="597"/>
      <c r="AD43" s="597"/>
      <c r="AE43" s="601"/>
      <c r="AF43" s="602"/>
      <c r="AG43" s="603"/>
      <c r="AH43" s="578"/>
      <c r="AI43" s="579"/>
    </row>
    <row r="44" spans="1:36" ht="14.25" customHeight="1">
      <c r="A44" s="594" t="s">
        <v>198</v>
      </c>
      <c r="B44" s="614">
        <f>ROUND(SUM(B25+B40+B42),1)</f>
        <v>1889.8</v>
      </c>
      <c r="C44" s="615"/>
      <c r="D44" s="614">
        <f>ROUND(SUM(D25+D40+D42),1)</f>
        <v>1092.0999999999999</v>
      </c>
      <c r="E44" s="616"/>
      <c r="F44" s="614">
        <f>ROUND(SUM(F25+F40+F42),1)</f>
        <v>1776.7</v>
      </c>
      <c r="G44" s="616"/>
      <c r="H44" s="614">
        <f>ROUND(SUM(H25+H40+H42),1)</f>
        <v>1227.8</v>
      </c>
      <c r="I44" s="616"/>
      <c r="J44" s="614">
        <f>ROUND(SUM(J25+J40+J42),1)</f>
        <v>1269.5999999999999</v>
      </c>
      <c r="K44" s="616"/>
      <c r="L44" s="614">
        <f>ROUND(SUM(L25+L40+L42),1)</f>
        <v>1785.1</v>
      </c>
      <c r="M44" s="616"/>
      <c r="N44" s="614">
        <f>ROUND(SUM(N25+N40+N42),1)</f>
        <v>1199.2</v>
      </c>
      <c r="O44" s="616"/>
      <c r="P44" s="614">
        <f>ROUND(SUM(P25+P40+P42),1)</f>
        <v>0</v>
      </c>
      <c r="Q44" s="616"/>
      <c r="R44" s="614">
        <f>ROUND(SUM(R25+R40+R42),1)</f>
        <v>0</v>
      </c>
      <c r="S44" s="616"/>
      <c r="T44" s="614">
        <f>ROUND(SUM(T25+T40+T42),1)</f>
        <v>0</v>
      </c>
      <c r="U44" s="616"/>
      <c r="V44" s="614">
        <f>ROUND(SUM(V25+V40+V42),1)</f>
        <v>0</v>
      </c>
      <c r="W44" s="616"/>
      <c r="X44" s="614">
        <f>ROUND(SUM(X25+X40+X42),1)</f>
        <v>0</v>
      </c>
      <c r="Y44" s="617"/>
      <c r="Z44" s="615"/>
      <c r="AA44" s="614">
        <f>ROUND(SUM(AA25+AA40+AA42),1)</f>
        <v>10240.299999999999</v>
      </c>
      <c r="AB44" s="617"/>
      <c r="AC44" s="615"/>
      <c r="AD44" s="614">
        <f>ROUND(SUM(AD25+AD40+AD42),1)</f>
        <v>10198.799999999999</v>
      </c>
      <c r="AE44" s="618"/>
      <c r="AF44" s="619"/>
      <c r="AG44" s="614">
        <f>ROUND(SUM(AG25+AG40+AG42),1)</f>
        <v>41.5</v>
      </c>
      <c r="AH44" s="588"/>
      <c r="AI44" s="2230">
        <f>ROUND(IF(AD44=0,0,AG44/(AD44)),3)</f>
        <v>4.0000000000000001E-3</v>
      </c>
      <c r="AJ44" s="1048"/>
    </row>
    <row r="45" spans="1:36" ht="19.5" customHeight="1">
      <c r="A45" s="567"/>
      <c r="B45" s="597"/>
      <c r="C45" s="597"/>
      <c r="D45" s="597"/>
      <c r="E45" s="597"/>
      <c r="F45" s="597"/>
      <c r="G45" s="597"/>
      <c r="H45" s="597"/>
      <c r="I45" s="597"/>
      <c r="J45" s="597"/>
      <c r="K45" s="597"/>
      <c r="L45" s="599"/>
      <c r="M45" s="597"/>
      <c r="N45" s="597"/>
      <c r="O45" s="597"/>
      <c r="P45" s="597"/>
      <c r="Q45" s="597"/>
      <c r="R45" s="597"/>
      <c r="S45" s="597"/>
      <c r="T45" s="597"/>
      <c r="U45" s="597"/>
      <c r="V45" s="597"/>
      <c r="W45" s="597"/>
      <c r="X45" s="597"/>
      <c r="Y45" s="600"/>
      <c r="Z45" s="597"/>
      <c r="AA45" s="597"/>
      <c r="AB45" s="600"/>
      <c r="AC45" s="597"/>
      <c r="AD45" s="597"/>
      <c r="AE45" s="601"/>
      <c r="AF45" s="602"/>
      <c r="AG45" s="603"/>
      <c r="AH45" s="578"/>
      <c r="AI45" s="579"/>
    </row>
    <row r="46" spans="1:36" ht="15.75">
      <c r="A46" s="621" t="s">
        <v>199</v>
      </c>
      <c r="B46" s="597"/>
      <c r="C46" s="597"/>
      <c r="D46" s="597"/>
      <c r="E46" s="597"/>
      <c r="F46" s="597"/>
      <c r="G46" s="597"/>
      <c r="H46" s="597"/>
      <c r="I46" s="597"/>
      <c r="J46" s="597"/>
      <c r="K46" s="597"/>
      <c r="L46" s="599"/>
      <c r="M46" s="597"/>
      <c r="N46" s="597"/>
      <c r="O46" s="597"/>
      <c r="P46" s="597"/>
      <c r="Q46" s="597"/>
      <c r="R46" s="597"/>
      <c r="S46" s="597"/>
      <c r="T46" s="597"/>
      <c r="U46" s="597"/>
      <c r="V46" s="597"/>
      <c r="W46" s="597"/>
      <c r="X46" s="597"/>
      <c r="Y46" s="600"/>
      <c r="Z46" s="597"/>
      <c r="AA46" s="597"/>
      <c r="AB46" s="600"/>
      <c r="AC46" s="597"/>
      <c r="AD46" s="597"/>
      <c r="AE46" s="601"/>
      <c r="AF46" s="602"/>
      <c r="AG46" s="603"/>
      <c r="AH46" s="578"/>
      <c r="AI46" s="579"/>
    </row>
    <row r="47" spans="1:36" ht="14.25" customHeight="1">
      <c r="A47" s="622" t="s">
        <v>160</v>
      </c>
      <c r="B47" s="597"/>
      <c r="C47" s="597"/>
      <c r="D47" s="597"/>
      <c r="E47" s="597"/>
      <c r="F47" s="597"/>
      <c r="G47" s="597"/>
      <c r="H47" s="597"/>
      <c r="I47" s="597"/>
      <c r="J47" s="597"/>
      <c r="K47" s="597"/>
      <c r="L47" s="599"/>
      <c r="M47" s="597"/>
      <c r="N47" s="597"/>
      <c r="O47" s="597"/>
      <c r="P47" s="597"/>
      <c r="Q47" s="597"/>
      <c r="R47" s="597"/>
      <c r="S47" s="597"/>
      <c r="T47" s="597"/>
      <c r="U47" s="597"/>
      <c r="V47" s="597"/>
      <c r="W47" s="597"/>
      <c r="X47" s="597"/>
      <c r="Y47" s="600"/>
      <c r="Z47" s="597"/>
      <c r="AA47" s="597"/>
      <c r="AB47" s="600"/>
      <c r="AC47" s="597"/>
      <c r="AD47" s="597"/>
      <c r="AE47" s="601"/>
      <c r="AF47" s="602"/>
      <c r="AG47" s="603"/>
      <c r="AH47" s="578"/>
      <c r="AI47" s="579"/>
    </row>
    <row r="48" spans="1:36" ht="14.25" customHeight="1">
      <c r="A48" s="622" t="s">
        <v>39</v>
      </c>
      <c r="B48" s="606">
        <v>1.4</v>
      </c>
      <c r="C48" s="597"/>
      <c r="D48" s="597">
        <v>1.2</v>
      </c>
      <c r="E48" s="596"/>
      <c r="F48" s="596">
        <v>2.5</v>
      </c>
      <c r="G48" s="597"/>
      <c r="H48" s="598">
        <v>8.5</v>
      </c>
      <c r="I48" s="597"/>
      <c r="J48" s="596">
        <v>2.9</v>
      </c>
      <c r="K48" s="597"/>
      <c r="L48" s="597">
        <v>4.2</v>
      </c>
      <c r="M48" s="597"/>
      <c r="N48" s="596">
        <v>0.9</v>
      </c>
      <c r="O48" s="597"/>
      <c r="P48" s="596"/>
      <c r="Q48" s="597"/>
      <c r="R48" s="596"/>
      <c r="S48" s="597"/>
      <c r="T48" s="623"/>
      <c r="U48" s="597"/>
      <c r="V48" s="596"/>
      <c r="W48" s="597"/>
      <c r="X48" s="596"/>
      <c r="Y48" s="600"/>
      <c r="Z48" s="597"/>
      <c r="AA48" s="596">
        <f>ROUND(SUM(B48:X48),1)</f>
        <v>21.6</v>
      </c>
      <c r="AB48" s="600"/>
      <c r="AC48" s="597"/>
      <c r="AD48" s="597">
        <v>20.399999999999999</v>
      </c>
      <c r="AE48" s="601"/>
      <c r="AF48" s="602"/>
      <c r="AG48" s="603">
        <f>ROUND(SUM(AA48-AD48),1)</f>
        <v>1.2</v>
      </c>
      <c r="AH48" s="578"/>
      <c r="AI48" s="3075">
        <f>ROUND(IF(AD48=0,0,AG48/(AD48)),3)</f>
        <v>5.8999999999999997E-2</v>
      </c>
    </row>
    <row r="49" spans="1:36" ht="14.25" customHeight="1">
      <c r="A49" s="2662" t="s">
        <v>1574</v>
      </c>
      <c r="B49" s="597"/>
      <c r="C49" s="597"/>
      <c r="D49" s="597"/>
      <c r="E49" s="597"/>
      <c r="F49" s="597"/>
      <c r="G49" s="597"/>
      <c r="H49" s="597"/>
      <c r="I49" s="597"/>
      <c r="J49" s="597"/>
      <c r="K49" s="597"/>
      <c r="L49" s="597"/>
      <c r="M49" s="597"/>
      <c r="N49" s="597"/>
      <c r="O49" s="597"/>
      <c r="P49" s="597"/>
      <c r="Q49" s="597"/>
      <c r="R49" s="599"/>
      <c r="S49" s="597"/>
      <c r="T49" s="597"/>
      <c r="U49" s="597"/>
      <c r="V49" s="597"/>
      <c r="W49" s="597"/>
      <c r="X49" s="599"/>
      <c r="Y49" s="600"/>
      <c r="Z49" s="597"/>
      <c r="AA49" s="597"/>
      <c r="AB49" s="600"/>
      <c r="AC49" s="597"/>
      <c r="AD49" s="597"/>
      <c r="AE49" s="601"/>
      <c r="AF49" s="602"/>
      <c r="AG49" s="603"/>
      <c r="AH49" s="578"/>
      <c r="AI49" s="579"/>
    </row>
    <row r="50" spans="1:36" ht="14.25" customHeight="1">
      <c r="A50" s="2663" t="s">
        <v>1573</v>
      </c>
      <c r="B50" s="624">
        <v>173.2</v>
      </c>
      <c r="C50" s="597"/>
      <c r="D50" s="624">
        <v>216.8</v>
      </c>
      <c r="E50" s="597"/>
      <c r="F50" s="609">
        <v>290.8</v>
      </c>
      <c r="G50" s="597"/>
      <c r="H50" s="625">
        <v>77.7</v>
      </c>
      <c r="I50" s="597"/>
      <c r="J50" s="597">
        <v>396.9</v>
      </c>
      <c r="K50" s="597"/>
      <c r="L50" s="597">
        <v>752.3</v>
      </c>
      <c r="M50" s="597"/>
      <c r="N50" s="596">
        <v>144.6</v>
      </c>
      <c r="O50" s="597"/>
      <c r="P50" s="596"/>
      <c r="Q50" s="597"/>
      <c r="R50" s="596"/>
      <c r="S50" s="597"/>
      <c r="T50" s="596"/>
      <c r="U50" s="597"/>
      <c r="V50" s="596"/>
      <c r="W50" s="597"/>
      <c r="X50" s="596"/>
      <c r="Y50" s="600"/>
      <c r="Z50" s="597"/>
      <c r="AA50" s="609">
        <f>ROUND(SUM(B50:X50),1)</f>
        <v>2052.3000000000002</v>
      </c>
      <c r="AB50" s="600"/>
      <c r="AC50" s="597"/>
      <c r="AD50" s="624">
        <v>2305.4</v>
      </c>
      <c r="AE50" s="601"/>
      <c r="AF50" s="602"/>
      <c r="AG50" s="624">
        <f>ROUND(SUM(AA50-AD50),1)</f>
        <v>-253.1</v>
      </c>
      <c r="AH50" s="578"/>
      <c r="AI50" s="2004">
        <f>ROUND(IF(AD50=0,0,AG50/(AD50)),3)</f>
        <v>-0.11</v>
      </c>
    </row>
    <row r="51" spans="1:36" ht="15">
      <c r="A51" s="567"/>
      <c r="B51" s="597"/>
      <c r="C51" s="597"/>
      <c r="D51" s="597"/>
      <c r="E51" s="597"/>
      <c r="F51" s="612"/>
      <c r="G51" s="597"/>
      <c r="H51" s="612"/>
      <c r="I51" s="597"/>
      <c r="J51" s="612"/>
      <c r="K51" s="597"/>
      <c r="L51" s="613"/>
      <c r="M51" s="597"/>
      <c r="N51" s="612"/>
      <c r="O51" s="597"/>
      <c r="P51" s="612"/>
      <c r="Q51" s="597"/>
      <c r="R51" s="612"/>
      <c r="S51" s="597"/>
      <c r="T51" s="612"/>
      <c r="U51" s="597"/>
      <c r="V51" s="612"/>
      <c r="W51" s="597"/>
      <c r="X51" s="612"/>
      <c r="Y51" s="600"/>
      <c r="Z51" s="597"/>
      <c r="AA51" s="597"/>
      <c r="AB51" s="600"/>
      <c r="AC51" s="597"/>
      <c r="AD51" s="597"/>
      <c r="AE51" s="601"/>
      <c r="AF51" s="602"/>
      <c r="AG51" s="603"/>
      <c r="AH51" s="578"/>
      <c r="AI51" s="579"/>
    </row>
    <row r="52" spans="1:36" ht="14.25" customHeight="1">
      <c r="A52" s="621" t="s">
        <v>200</v>
      </c>
      <c r="B52" s="614">
        <f>ROUND(SUM(B48:B50),1)</f>
        <v>174.6</v>
      </c>
      <c r="C52" s="615"/>
      <c r="D52" s="614">
        <f>ROUND(SUM(D48:D50),1)</f>
        <v>218</v>
      </c>
      <c r="E52" s="616"/>
      <c r="F52" s="614">
        <f>ROUND(SUM(F48:F50),1)</f>
        <v>293.3</v>
      </c>
      <c r="G52" s="616"/>
      <c r="H52" s="614">
        <f>ROUND(SUM(H48:H50),1)</f>
        <v>86.2</v>
      </c>
      <c r="I52" s="616"/>
      <c r="J52" s="614">
        <f>ROUND(SUM(J48:J50),1)</f>
        <v>399.8</v>
      </c>
      <c r="K52" s="616"/>
      <c r="L52" s="614">
        <f>ROUND(SUM(L48:L50),1)</f>
        <v>756.5</v>
      </c>
      <c r="M52" s="616"/>
      <c r="N52" s="614">
        <f>ROUND(SUM(N48:N50),1)</f>
        <v>145.5</v>
      </c>
      <c r="O52" s="616"/>
      <c r="P52" s="614">
        <f>ROUND(SUM(P48:P50),1)</f>
        <v>0</v>
      </c>
      <c r="Q52" s="616"/>
      <c r="R52" s="614">
        <f>ROUND(SUM(R48:R50),1)</f>
        <v>0</v>
      </c>
      <c r="S52" s="616"/>
      <c r="T52" s="614">
        <f>ROUND(SUM(T48:T50),1)</f>
        <v>0</v>
      </c>
      <c r="U52" s="616"/>
      <c r="V52" s="614">
        <f>ROUND(SUM(V48:V50),1)</f>
        <v>0</v>
      </c>
      <c r="W52" s="616"/>
      <c r="X52" s="614">
        <f>ROUND(SUM(X48:X50),1)</f>
        <v>0</v>
      </c>
      <c r="Y52" s="617"/>
      <c r="Z52" s="615"/>
      <c r="AA52" s="614">
        <f>ROUND(SUM(AA48:AA50),1)</f>
        <v>2073.9</v>
      </c>
      <c r="AB52" s="617"/>
      <c r="AC52" s="615"/>
      <c r="AD52" s="614">
        <f>ROUND(SUM(AD48:AD50),1)</f>
        <v>2325.8000000000002</v>
      </c>
      <c r="AE52" s="618"/>
      <c r="AF52" s="619"/>
      <c r="AG52" s="614">
        <f>ROUND(SUM(AG48:AG50),1)</f>
        <v>-251.9</v>
      </c>
      <c r="AH52" s="588"/>
      <c r="AI52" s="2230">
        <f>ROUND(IF(AD52=0,0,AG52/(AD52)),3)</f>
        <v>-0.108</v>
      </c>
      <c r="AJ52" s="1049"/>
    </row>
    <row r="53" spans="1:36" ht="12" customHeight="1">
      <c r="A53" s="567"/>
      <c r="B53" s="597"/>
      <c r="C53" s="597"/>
      <c r="D53" s="599"/>
      <c r="E53" s="599"/>
      <c r="F53" s="599"/>
      <c r="G53" s="599"/>
      <c r="H53" s="599"/>
      <c r="I53" s="599"/>
      <c r="J53" s="599"/>
      <c r="K53" s="599"/>
      <c r="L53" s="599"/>
      <c r="M53" s="599"/>
      <c r="N53" s="599"/>
      <c r="O53" s="599"/>
      <c r="P53" s="599"/>
      <c r="Q53" s="599"/>
      <c r="R53" s="599"/>
      <c r="S53" s="599"/>
      <c r="T53" s="599"/>
      <c r="U53" s="599"/>
      <c r="V53" s="599"/>
      <c r="W53" s="599"/>
      <c r="X53" s="599"/>
      <c r="Y53" s="600"/>
      <c r="Z53" s="597"/>
      <c r="AA53" s="597" t="s">
        <v>16</v>
      </c>
      <c r="AB53" s="600"/>
      <c r="AC53" s="597"/>
      <c r="AD53" s="597"/>
      <c r="AE53" s="601"/>
      <c r="AF53" s="602"/>
      <c r="AG53" s="603"/>
      <c r="AH53" s="578"/>
      <c r="AI53" s="579"/>
    </row>
    <row r="54" spans="1:36" ht="14.25" customHeight="1">
      <c r="A54" s="621" t="s">
        <v>45</v>
      </c>
      <c r="B54" s="597"/>
      <c r="C54" s="597"/>
      <c r="D54" s="599"/>
      <c r="E54" s="599"/>
      <c r="F54" s="599"/>
      <c r="G54" s="599"/>
      <c r="H54" s="599"/>
      <c r="I54" s="599"/>
      <c r="J54" s="599"/>
      <c r="K54" s="599"/>
      <c r="L54" s="599"/>
      <c r="M54" s="599"/>
      <c r="N54" s="599"/>
      <c r="O54" s="599"/>
      <c r="P54" s="605"/>
      <c r="Q54" s="599"/>
      <c r="R54" s="599"/>
      <c r="S54" s="599"/>
      <c r="T54" s="599"/>
      <c r="U54" s="599"/>
      <c r="V54" s="599"/>
      <c r="W54" s="599"/>
      <c r="X54" s="599"/>
      <c r="Y54" s="600"/>
      <c r="Z54" s="597"/>
      <c r="AA54" s="597"/>
      <c r="AB54" s="600"/>
      <c r="AC54" s="597"/>
      <c r="AD54" s="597"/>
      <c r="AE54" s="601"/>
      <c r="AF54" s="602"/>
      <c r="AG54" s="603"/>
      <c r="AH54" s="578"/>
      <c r="AI54" s="579"/>
    </row>
    <row r="55" spans="1:36" ht="14.25" customHeight="1">
      <c r="A55" s="594" t="s">
        <v>201</v>
      </c>
      <c r="B55" s="614">
        <f>ROUND(SUM(B44-B52),1)</f>
        <v>1715.2</v>
      </c>
      <c r="C55" s="615"/>
      <c r="D55" s="614">
        <f>ROUND(SUM(D44-D52),1)</f>
        <v>874.1</v>
      </c>
      <c r="E55" s="626"/>
      <c r="F55" s="614">
        <f>ROUND(SUM(F44-F52),1)</f>
        <v>1483.4</v>
      </c>
      <c r="G55" s="616"/>
      <c r="H55" s="614">
        <f>ROUND(SUM(H44-H52),1)</f>
        <v>1141.5999999999999</v>
      </c>
      <c r="I55" s="616"/>
      <c r="J55" s="614">
        <f>ROUND(SUM(J44-J52),1)</f>
        <v>869.8</v>
      </c>
      <c r="K55" s="616"/>
      <c r="L55" s="614">
        <f>ROUND(SUM(L44-L52),1)</f>
        <v>1028.5999999999999</v>
      </c>
      <c r="M55" s="616"/>
      <c r="N55" s="614">
        <f>ROUND(SUM(N44-N52),1)</f>
        <v>1053.7</v>
      </c>
      <c r="O55" s="616"/>
      <c r="P55" s="614">
        <f>ROUND(SUM(P44-P52),1)</f>
        <v>0</v>
      </c>
      <c r="Q55" s="616"/>
      <c r="R55" s="614">
        <f>ROUND(SUM(R44-R52),1)</f>
        <v>0</v>
      </c>
      <c r="S55" s="616"/>
      <c r="T55" s="614">
        <f>ROUND(SUM(T44-T52),1)</f>
        <v>0</v>
      </c>
      <c r="U55" s="616"/>
      <c r="V55" s="614">
        <f>ROUND(SUM(V44-V52),1)</f>
        <v>0</v>
      </c>
      <c r="W55" s="616"/>
      <c r="X55" s="614">
        <f>ROUND(SUM(X44-X52),1)</f>
        <v>0</v>
      </c>
      <c r="Y55" s="617"/>
      <c r="Z55" s="615"/>
      <c r="AA55" s="614">
        <f>ROUND(SUM(AA44-AA52),1)</f>
        <v>8166.4</v>
      </c>
      <c r="AB55" s="617"/>
      <c r="AC55" s="615"/>
      <c r="AD55" s="614">
        <f>ROUND(SUM(AD44-AD52),1)</f>
        <v>7873</v>
      </c>
      <c r="AE55" s="618"/>
      <c r="AF55" s="619"/>
      <c r="AG55" s="614">
        <f>ROUND(SUM(+AG44-AG52),1)</f>
        <v>293.39999999999998</v>
      </c>
      <c r="AH55" s="588"/>
      <c r="AI55" s="2230">
        <f>ROUND(IF(AD55=0,0,AG55/(AD55)),3)</f>
        <v>3.6999999999999998E-2</v>
      </c>
      <c r="AJ55" s="1048"/>
    </row>
    <row r="56" spans="1:36" ht="19.5" customHeight="1">
      <c r="A56" s="567"/>
      <c r="B56" s="603"/>
      <c r="C56" s="597"/>
      <c r="D56" s="597"/>
      <c r="E56" s="597"/>
      <c r="F56" s="603"/>
      <c r="G56" s="597"/>
      <c r="H56" s="603"/>
      <c r="I56" s="597"/>
      <c r="J56" s="603"/>
      <c r="K56" s="597"/>
      <c r="L56" s="605"/>
      <c r="M56" s="597"/>
      <c r="N56" s="603"/>
      <c r="O56" s="597"/>
      <c r="P56" s="603"/>
      <c r="Q56" s="597"/>
      <c r="R56" s="603"/>
      <c r="S56" s="597"/>
      <c r="T56" s="603"/>
      <c r="U56" s="597"/>
      <c r="V56" s="603"/>
      <c r="W56" s="597"/>
      <c r="X56" s="603"/>
      <c r="Y56" s="600"/>
      <c r="Z56" s="597"/>
      <c r="AA56" s="603" t="s">
        <v>16</v>
      </c>
      <c r="AB56" s="600"/>
      <c r="AC56" s="597"/>
      <c r="AD56" s="603"/>
      <c r="AE56" s="601"/>
      <c r="AF56" s="602"/>
      <c r="AG56" s="603"/>
      <c r="AH56" s="578"/>
      <c r="AI56" s="579"/>
    </row>
    <row r="57" spans="1:36" ht="19.5" customHeight="1">
      <c r="A57" s="567"/>
      <c r="B57" s="597"/>
      <c r="C57" s="597"/>
      <c r="D57" s="597"/>
      <c r="E57" s="597"/>
      <c r="F57" s="597"/>
      <c r="G57" s="597"/>
      <c r="H57" s="597"/>
      <c r="I57" s="597"/>
      <c r="J57" s="597"/>
      <c r="K57" s="597"/>
      <c r="L57" s="599"/>
      <c r="M57" s="597"/>
      <c r="N57" s="597"/>
      <c r="O57" s="597"/>
      <c r="P57" s="597"/>
      <c r="Q57" s="597"/>
      <c r="R57" s="597"/>
      <c r="S57" s="597"/>
      <c r="T57" s="597"/>
      <c r="U57" s="597"/>
      <c r="V57" s="597"/>
      <c r="W57" s="597"/>
      <c r="X57" s="597"/>
      <c r="Y57" s="600"/>
      <c r="Z57" s="597"/>
      <c r="AA57" s="597"/>
      <c r="AB57" s="600"/>
      <c r="AC57" s="597"/>
      <c r="AD57" s="597"/>
      <c r="AE57" s="601"/>
      <c r="AF57" s="602"/>
      <c r="AG57" s="603"/>
      <c r="AH57" s="578"/>
      <c r="AI57" s="579"/>
    </row>
    <row r="58" spans="1:36" ht="14.25" customHeight="1">
      <c r="A58" s="621" t="s">
        <v>47</v>
      </c>
      <c r="B58" s="597"/>
      <c r="C58" s="597"/>
      <c r="D58" s="597"/>
      <c r="E58" s="597"/>
      <c r="F58" s="597"/>
      <c r="G58" s="597"/>
      <c r="H58" s="597"/>
      <c r="I58" s="597"/>
      <c r="J58" s="597"/>
      <c r="K58" s="597"/>
      <c r="L58" s="599"/>
      <c r="M58" s="597"/>
      <c r="N58" s="597"/>
      <c r="O58" s="597"/>
      <c r="P58" s="597"/>
      <c r="Q58" s="597"/>
      <c r="R58" s="597"/>
      <c r="S58" s="597"/>
      <c r="T58" s="597"/>
      <c r="U58" s="597"/>
      <c r="V58" s="597"/>
      <c r="W58" s="597"/>
      <c r="X58" s="597"/>
      <c r="Y58" s="600"/>
      <c r="Z58" s="597"/>
      <c r="AA58" s="597"/>
      <c r="AB58" s="600"/>
      <c r="AC58" s="597"/>
      <c r="AD58" s="597"/>
      <c r="AE58" s="601"/>
      <c r="AF58" s="602"/>
      <c r="AG58" s="603"/>
      <c r="AH58" s="578"/>
      <c r="AI58" s="579"/>
    </row>
    <row r="59" spans="1:36" ht="14.25" customHeight="1">
      <c r="A59" s="622" t="s">
        <v>191</v>
      </c>
      <c r="B59" s="606">
        <v>653.20000000000005</v>
      </c>
      <c r="C59" s="597"/>
      <c r="D59" s="627">
        <v>-10.199999999999999</v>
      </c>
      <c r="E59" s="597"/>
      <c r="F59" s="596">
        <v>151.1</v>
      </c>
      <c r="G59" s="597"/>
      <c r="H59" s="598">
        <v>380.9</v>
      </c>
      <c r="I59" s="597"/>
      <c r="J59" s="596">
        <v>410.4</v>
      </c>
      <c r="K59" s="597"/>
      <c r="L59" s="596">
        <v>185.9</v>
      </c>
      <c r="M59" s="597"/>
      <c r="N59" s="597">
        <v>533</v>
      </c>
      <c r="O59" s="597"/>
      <c r="P59" s="596"/>
      <c r="Q59" s="597"/>
      <c r="R59" s="596"/>
      <c r="S59" s="597"/>
      <c r="T59" s="596"/>
      <c r="U59" s="597"/>
      <c r="V59" s="596"/>
      <c r="W59" s="597"/>
      <c r="X59" s="596"/>
      <c r="Y59" s="600"/>
      <c r="Z59" s="597"/>
      <c r="AA59" s="596">
        <f>ROUND(SUM(B59:X59),1)</f>
        <v>2304.3000000000002</v>
      </c>
      <c r="AB59" s="600"/>
      <c r="AC59" s="597"/>
      <c r="AD59" s="597">
        <v>3108.9</v>
      </c>
      <c r="AE59" s="601"/>
      <c r="AF59" s="602"/>
      <c r="AG59" s="603">
        <f>ROUND(SUM(AA59-AD59),1)</f>
        <v>-804.6</v>
      </c>
      <c r="AH59" s="578"/>
      <c r="AI59" s="45">
        <f>ROUND(IF(AD59=0,0,AG59/(AD59)),3)</f>
        <v>-0.25900000000000001</v>
      </c>
    </row>
    <row r="60" spans="1:36" ht="14.25" customHeight="1">
      <c r="A60" s="622" t="s">
        <v>202</v>
      </c>
      <c r="B60" s="625">
        <v>-1946.8</v>
      </c>
      <c r="C60" s="597"/>
      <c r="D60" s="625">
        <v>-842.3</v>
      </c>
      <c r="E60" s="597"/>
      <c r="F60" s="628">
        <v>-1919.9</v>
      </c>
      <c r="G60" s="597"/>
      <c r="H60" s="625">
        <v>-1037.2</v>
      </c>
      <c r="I60" s="597"/>
      <c r="J60" s="596">
        <v>-919.4</v>
      </c>
      <c r="K60" s="597"/>
      <c r="L60" s="596">
        <v>-2146.6999999999998</v>
      </c>
      <c r="M60" s="597"/>
      <c r="N60" s="597">
        <v>-1039.7</v>
      </c>
      <c r="O60" s="597"/>
      <c r="P60" s="596"/>
      <c r="Q60" s="597"/>
      <c r="R60" s="596"/>
      <c r="S60" s="597"/>
      <c r="T60" s="629"/>
      <c r="U60" s="597"/>
      <c r="V60" s="596"/>
      <c r="W60" s="597"/>
      <c r="X60" s="596"/>
      <c r="Y60" s="600"/>
      <c r="Z60" s="597"/>
      <c r="AA60" s="609">
        <f>ROUND(SUM(B60:X60),1)</f>
        <v>-9852</v>
      </c>
      <c r="AB60" s="600"/>
      <c r="AC60" s="597"/>
      <c r="AD60" s="624">
        <v>-10370.4</v>
      </c>
      <c r="AE60" s="601"/>
      <c r="AF60" s="602"/>
      <c r="AG60" s="624">
        <f>ROUND(SUM(-(AA60-AD60)),1)</f>
        <v>-518.4</v>
      </c>
      <c r="AH60" s="578"/>
      <c r="AI60" s="2004">
        <f>-ROUND(IF(AD60=0,0,AG60/(AD60)),3)</f>
        <v>-0.05</v>
      </c>
    </row>
    <row r="61" spans="1:36" ht="15">
      <c r="A61" s="567"/>
      <c r="B61" s="597"/>
      <c r="C61" s="597"/>
      <c r="D61" s="630"/>
      <c r="E61" s="597"/>
      <c r="F61" s="612"/>
      <c r="G61" s="597"/>
      <c r="H61" s="612"/>
      <c r="I61" s="597"/>
      <c r="J61" s="612"/>
      <c r="K61" s="597"/>
      <c r="L61" s="613"/>
      <c r="M61" s="597"/>
      <c r="N61" s="612"/>
      <c r="O61" s="597"/>
      <c r="P61" s="612"/>
      <c r="Q61" s="597"/>
      <c r="R61" s="612"/>
      <c r="S61" s="597"/>
      <c r="T61" s="612"/>
      <c r="U61" s="597"/>
      <c r="V61" s="612"/>
      <c r="W61" s="597"/>
      <c r="X61" s="612"/>
      <c r="Y61" s="600"/>
      <c r="Z61" s="597"/>
      <c r="AA61" s="597"/>
      <c r="AB61" s="600"/>
      <c r="AC61" s="597"/>
      <c r="AD61" s="597"/>
      <c r="AE61" s="601"/>
      <c r="AF61" s="602"/>
      <c r="AG61" s="603"/>
      <c r="AH61" s="578"/>
      <c r="AI61" s="579"/>
    </row>
    <row r="62" spans="1:36" ht="14.25" customHeight="1">
      <c r="A62" s="621" t="s">
        <v>1299</v>
      </c>
      <c r="B62" s="631">
        <f>ROUND(SUM(B59:B60),1)</f>
        <v>-1293.5999999999999</v>
      </c>
      <c r="C62" s="615"/>
      <c r="D62" s="631">
        <f>ROUND(SUM(D59:D60),1)</f>
        <v>-852.5</v>
      </c>
      <c r="E62" s="616"/>
      <c r="F62" s="631">
        <f>ROUND(SUM(F59:F60),1)</f>
        <v>-1768.8</v>
      </c>
      <c r="G62" s="616"/>
      <c r="H62" s="631">
        <f>ROUND(SUM(H59:H60),1)</f>
        <v>-656.3</v>
      </c>
      <c r="I62" s="616"/>
      <c r="J62" s="631">
        <f>ROUND(SUM(J59:J60),1)</f>
        <v>-509</v>
      </c>
      <c r="K62" s="616"/>
      <c r="L62" s="631">
        <f>ROUND(SUM(L59:L60),1)</f>
        <v>-1960.8</v>
      </c>
      <c r="M62" s="616"/>
      <c r="N62" s="631">
        <f>ROUND(SUM(N59:N60),1)</f>
        <v>-506.7</v>
      </c>
      <c r="O62" s="616"/>
      <c r="P62" s="631">
        <f>ROUND(SUM(P59:P60),1)</f>
        <v>0</v>
      </c>
      <c r="Q62" s="616"/>
      <c r="R62" s="631">
        <f>ROUND(SUM(R59:R60),1)</f>
        <v>0</v>
      </c>
      <c r="S62" s="616"/>
      <c r="T62" s="631">
        <f>ROUND(SUM(T59:T60),1)</f>
        <v>0</v>
      </c>
      <c r="U62" s="616"/>
      <c r="V62" s="631">
        <f>ROUND(SUM(V59:V60),1)</f>
        <v>0</v>
      </c>
      <c r="W62" s="616"/>
      <c r="X62" s="631">
        <f>ROUND(SUM(X59:X60),1)</f>
        <v>0</v>
      </c>
      <c r="Y62" s="617"/>
      <c r="Z62" s="615"/>
      <c r="AA62" s="631">
        <f>ROUND(SUM(AA59:AA60),1)</f>
        <v>-7547.7</v>
      </c>
      <c r="AB62" s="617"/>
      <c r="AC62" s="615"/>
      <c r="AD62" s="631">
        <f>ROUND(SUM(AD59:AD60),1)</f>
        <v>-7261.5</v>
      </c>
      <c r="AE62" s="618"/>
      <c r="AF62" s="619"/>
      <c r="AG62" s="631">
        <f>ROUND(SUM(AG59-AG60),1)</f>
        <v>-286.2</v>
      </c>
      <c r="AH62" s="588"/>
      <c r="AI62" s="2230">
        <f>-ROUND(IF(AD62=0,0,AG62/(AD62)),3)</f>
        <v>-3.9E-2</v>
      </c>
      <c r="AJ62" s="1048"/>
    </row>
    <row r="63" spans="1:36" ht="19.5" customHeight="1">
      <c r="A63" s="567"/>
      <c r="B63" s="597"/>
      <c r="C63" s="597"/>
      <c r="D63" s="630"/>
      <c r="E63" s="597"/>
      <c r="F63" s="597"/>
      <c r="G63" s="597"/>
      <c r="H63" s="597"/>
      <c r="I63" s="597"/>
      <c r="J63" s="597"/>
      <c r="K63" s="597"/>
      <c r="L63" s="599"/>
      <c r="M63" s="597"/>
      <c r="N63" s="597"/>
      <c r="O63" s="597"/>
      <c r="P63" s="597"/>
      <c r="Q63" s="597"/>
      <c r="R63" s="597"/>
      <c r="S63" s="597"/>
      <c r="T63" s="597"/>
      <c r="U63" s="597"/>
      <c r="V63" s="597"/>
      <c r="W63" s="597"/>
      <c r="X63" s="597"/>
      <c r="Y63" s="600"/>
      <c r="Z63" s="597"/>
      <c r="AA63" s="597" t="s">
        <v>16</v>
      </c>
      <c r="AB63" s="600"/>
      <c r="AC63" s="597"/>
      <c r="AD63" s="597"/>
      <c r="AE63" s="601"/>
      <c r="AF63" s="602"/>
      <c r="AG63" s="603"/>
      <c r="AH63" s="578"/>
      <c r="AI63" s="579"/>
    </row>
    <row r="64" spans="1:36" ht="19.5" customHeight="1">
      <c r="A64" s="567"/>
      <c r="B64" s="597"/>
      <c r="C64" s="597"/>
      <c r="D64" s="630"/>
      <c r="E64" s="597"/>
      <c r="F64" s="597"/>
      <c r="G64" s="597"/>
      <c r="H64" s="597"/>
      <c r="I64" s="597"/>
      <c r="J64" s="597"/>
      <c r="K64" s="597"/>
      <c r="L64" s="599"/>
      <c r="M64" s="597"/>
      <c r="N64" s="597"/>
      <c r="O64" s="597"/>
      <c r="P64" s="597"/>
      <c r="Q64" s="597"/>
      <c r="R64" s="597"/>
      <c r="S64" s="597"/>
      <c r="T64" s="597"/>
      <c r="U64" s="597"/>
      <c r="V64" s="597"/>
      <c r="W64" s="597"/>
      <c r="X64" s="597"/>
      <c r="Y64" s="600"/>
      <c r="Z64" s="597"/>
      <c r="AA64" s="597"/>
      <c r="AB64" s="600"/>
      <c r="AC64" s="597"/>
      <c r="AD64" s="597"/>
      <c r="AE64" s="601"/>
      <c r="AF64" s="602"/>
      <c r="AG64" s="603"/>
      <c r="AH64" s="578"/>
      <c r="AI64" s="579"/>
    </row>
    <row r="65" spans="1:38" ht="14.25" customHeight="1">
      <c r="A65" s="594" t="s">
        <v>203</v>
      </c>
      <c r="B65" s="597"/>
      <c r="C65" s="597"/>
      <c r="D65" s="599"/>
      <c r="E65" s="597"/>
      <c r="F65" s="597"/>
      <c r="G65" s="597"/>
      <c r="H65" s="597"/>
      <c r="I65" s="597"/>
      <c r="J65" s="597"/>
      <c r="K65" s="597"/>
      <c r="L65" s="599"/>
      <c r="M65" s="597"/>
      <c r="N65" s="597"/>
      <c r="O65" s="597"/>
      <c r="P65" s="597"/>
      <c r="Q65" s="597"/>
      <c r="R65" s="597"/>
      <c r="S65" s="597"/>
      <c r="T65" s="597"/>
      <c r="U65" s="597"/>
      <c r="V65" s="597"/>
      <c r="W65" s="597"/>
      <c r="X65" s="597"/>
      <c r="Y65" s="600"/>
      <c r="Z65" s="597"/>
      <c r="AA65" s="597"/>
      <c r="AB65" s="600"/>
      <c r="AC65" s="597"/>
      <c r="AD65" s="597"/>
      <c r="AE65" s="601"/>
      <c r="AF65" s="602"/>
      <c r="AG65" s="603"/>
      <c r="AH65" s="578"/>
      <c r="AI65" s="579"/>
    </row>
    <row r="66" spans="1:38" ht="14.25" customHeight="1">
      <c r="A66" s="594" t="s">
        <v>204</v>
      </c>
      <c r="B66" s="597"/>
      <c r="C66" s="597"/>
      <c r="D66" s="599"/>
      <c r="E66" s="597"/>
      <c r="F66" s="597"/>
      <c r="G66" s="597"/>
      <c r="H66" s="597"/>
      <c r="I66" s="597"/>
      <c r="J66" s="597"/>
      <c r="K66" s="597"/>
      <c r="L66" s="599"/>
      <c r="M66" s="597"/>
      <c r="N66" s="597"/>
      <c r="O66" s="597"/>
      <c r="P66" s="597"/>
      <c r="Q66" s="597"/>
      <c r="R66" s="597"/>
      <c r="S66" s="597"/>
      <c r="T66" s="597"/>
      <c r="U66" s="597"/>
      <c r="V66" s="597"/>
      <c r="W66" s="597"/>
      <c r="X66" s="597"/>
      <c r="Y66" s="600"/>
      <c r="Z66" s="597"/>
      <c r="AA66" s="597"/>
      <c r="AB66" s="600"/>
      <c r="AC66" s="597"/>
      <c r="AD66" s="597"/>
      <c r="AE66" s="601"/>
      <c r="AF66" s="602"/>
      <c r="AG66" s="603"/>
      <c r="AH66" s="578"/>
      <c r="AI66" s="579"/>
    </row>
    <row r="67" spans="1:38" ht="14.25" customHeight="1">
      <c r="A67" s="594" t="s">
        <v>205</v>
      </c>
      <c r="B67" s="614">
        <f>ROUND(SUM(+B55+B62),1)</f>
        <v>421.6</v>
      </c>
      <c r="C67" s="615"/>
      <c r="D67" s="614">
        <f>ROUND(SUM(+D55+D62),1)</f>
        <v>21.6</v>
      </c>
      <c r="E67" s="615"/>
      <c r="F67" s="614">
        <f>ROUND(SUM(+F55+F62),1)</f>
        <v>-285.39999999999998</v>
      </c>
      <c r="G67" s="615"/>
      <c r="H67" s="614">
        <f>ROUND(SUM(+H55+H62),1)</f>
        <v>485.3</v>
      </c>
      <c r="I67" s="615"/>
      <c r="J67" s="614">
        <f>ROUND(SUM(+J55+J62),1)</f>
        <v>360.8</v>
      </c>
      <c r="K67" s="615"/>
      <c r="L67" s="614">
        <f>ROUND(SUM(+L55+L62),1)</f>
        <v>-932.2</v>
      </c>
      <c r="M67" s="615"/>
      <c r="N67" s="614">
        <f>ROUND(SUM(+N55+N62),1)</f>
        <v>547</v>
      </c>
      <c r="O67" s="615"/>
      <c r="P67" s="614">
        <f>ROUND(SUM(+P55+P62),1)</f>
        <v>0</v>
      </c>
      <c r="Q67" s="615"/>
      <c r="R67" s="614">
        <f>ROUND(SUM(+R55+R62),1)</f>
        <v>0</v>
      </c>
      <c r="S67" s="615"/>
      <c r="T67" s="614">
        <f>ROUND(SUM(+T55+T62),1)</f>
        <v>0</v>
      </c>
      <c r="U67" s="615"/>
      <c r="V67" s="614">
        <f>ROUND(SUM(+V55+V62),1)</f>
        <v>0</v>
      </c>
      <c r="W67" s="615"/>
      <c r="X67" s="614">
        <f>ROUND(SUM(+X55+X62),1)</f>
        <v>0</v>
      </c>
      <c r="Y67" s="617"/>
      <c r="Z67" s="615"/>
      <c r="AA67" s="614">
        <f>ROUND(SUM(+AA55+AA62),1)</f>
        <v>618.70000000000005</v>
      </c>
      <c r="AB67" s="617"/>
      <c r="AC67" s="615"/>
      <c r="AD67" s="614">
        <f>ROUND(SUM(+AD55+AD62),1)</f>
        <v>611.5</v>
      </c>
      <c r="AE67" s="618"/>
      <c r="AF67" s="619"/>
      <c r="AG67" s="614">
        <f>ROUND(SUM(+AG55+AG62),1)</f>
        <v>7.2</v>
      </c>
      <c r="AH67" s="588"/>
      <c r="AI67" s="3162">
        <f>ROUND(IF(AD67=0,0,AG67/(AD67)),3)</f>
        <v>1.2E-2</v>
      </c>
      <c r="AJ67" s="1048"/>
    </row>
    <row r="68" spans="1:38" ht="15">
      <c r="A68" s="567"/>
      <c r="B68" s="568"/>
      <c r="C68" s="568"/>
      <c r="D68" s="632"/>
      <c r="E68" s="568"/>
      <c r="F68" s="633"/>
      <c r="G68" s="568"/>
      <c r="H68" s="633"/>
      <c r="I68" s="568"/>
      <c r="J68" s="633"/>
      <c r="K68" s="568"/>
      <c r="L68" s="634"/>
      <c r="M68" s="568"/>
      <c r="N68" s="633"/>
      <c r="O68" s="568"/>
      <c r="P68" s="633"/>
      <c r="Q68" s="568"/>
      <c r="R68" s="633"/>
      <c r="S68" s="568"/>
      <c r="T68" s="633"/>
      <c r="U68" s="568"/>
      <c r="V68" s="633"/>
      <c r="W68" s="568"/>
      <c r="X68" s="633"/>
      <c r="Y68" s="591"/>
      <c r="Z68" s="568"/>
      <c r="AA68" s="568" t="s">
        <v>16</v>
      </c>
      <c r="AB68" s="591"/>
      <c r="AC68" s="568"/>
      <c r="AD68" s="568"/>
      <c r="AE68" s="574"/>
      <c r="AF68" s="592"/>
      <c r="AG68" s="593"/>
      <c r="AH68" s="578"/>
      <c r="AI68" s="579"/>
    </row>
    <row r="69" spans="1:38" ht="15">
      <c r="A69" s="567"/>
      <c r="B69" s="567"/>
      <c r="C69" s="567"/>
      <c r="D69" s="571"/>
      <c r="E69" s="567"/>
      <c r="F69" s="593"/>
      <c r="G69" s="567"/>
      <c r="H69" s="570"/>
      <c r="I69" s="567"/>
      <c r="J69" s="570"/>
      <c r="K69" s="567"/>
      <c r="L69" s="635"/>
      <c r="M69" s="567"/>
      <c r="N69" s="570"/>
      <c r="O69" s="567"/>
      <c r="P69" s="570"/>
      <c r="Q69" s="567"/>
      <c r="R69" s="570"/>
      <c r="S69" s="567"/>
      <c r="T69" s="593"/>
      <c r="U69" s="568"/>
      <c r="V69" s="593"/>
      <c r="W69" s="568"/>
      <c r="X69" s="593"/>
      <c r="Y69" s="590"/>
      <c r="Z69" s="567"/>
      <c r="AA69" s="568"/>
      <c r="AB69" s="591"/>
      <c r="AC69" s="568"/>
      <c r="AD69" s="568"/>
      <c r="AE69" s="572"/>
      <c r="AF69" s="592"/>
      <c r="AG69" s="593"/>
      <c r="AH69" s="578"/>
      <c r="AI69" s="579"/>
    </row>
    <row r="70" spans="1:38" ht="19.5" customHeight="1" thickBot="1">
      <c r="A70" s="594" t="s">
        <v>148</v>
      </c>
      <c r="B70" s="636">
        <f>ROUND(SUM(B12+B67),1)</f>
        <v>486.7</v>
      </c>
      <c r="C70" s="581"/>
      <c r="D70" s="636">
        <f>ROUND(SUM(D12+D67),1)</f>
        <v>508.3</v>
      </c>
      <c r="E70" s="581"/>
      <c r="F70" s="636">
        <f>ROUND(SUM(F12+F67),1)</f>
        <v>222.9</v>
      </c>
      <c r="G70" s="581"/>
      <c r="H70" s="636">
        <f>ROUND(SUM(H12+H67),1)</f>
        <v>708.2</v>
      </c>
      <c r="I70" s="581"/>
      <c r="J70" s="636">
        <f>ROUND(SUM(J12+J67),1)</f>
        <v>1069</v>
      </c>
      <c r="K70" s="581"/>
      <c r="L70" s="636">
        <f>ROUND(SUM(L12+L67),1)</f>
        <v>136.80000000000001</v>
      </c>
      <c r="M70" s="581"/>
      <c r="N70" s="636">
        <f>ROUND(SUM(N12+N67),1)</f>
        <v>683.8</v>
      </c>
      <c r="O70" s="581"/>
      <c r="P70" s="636">
        <f>ROUND(SUM(P12+P67),1)</f>
        <v>0</v>
      </c>
      <c r="Q70" s="581"/>
      <c r="R70" s="636">
        <f>ROUND(SUM(R12+R67),1)</f>
        <v>0</v>
      </c>
      <c r="S70" s="581"/>
      <c r="T70" s="636">
        <f>ROUND(SUM(T12+T67),1)</f>
        <v>0</v>
      </c>
      <c r="U70" s="581"/>
      <c r="V70" s="636">
        <f>ROUND(SUM(V12+V67),1)</f>
        <v>0</v>
      </c>
      <c r="W70" s="581"/>
      <c r="X70" s="636">
        <f>ROUND(SUM(X12+X67),1)</f>
        <v>0</v>
      </c>
      <c r="Y70" s="584"/>
      <c r="Z70" s="581"/>
      <c r="AA70" s="636">
        <f>ROUND(SUM(AA12+AA67),1)</f>
        <v>683.8</v>
      </c>
      <c r="AB70" s="584"/>
      <c r="AC70" s="581"/>
      <c r="AD70" s="636">
        <f>ROUND(SUM(AD12+AD67),1)</f>
        <v>990.6</v>
      </c>
      <c r="AE70" s="637"/>
      <c r="AF70" s="586"/>
      <c r="AG70" s="636">
        <f>ROUND(SUM(+AG12+AG67),1)</f>
        <v>-306.8</v>
      </c>
      <c r="AH70" s="588"/>
      <c r="AI70" s="130">
        <f>ROUND(IF(AD70=0,0,AG70/(AD70)),3)</f>
        <v>-0.31</v>
      </c>
      <c r="AJ70" s="1050"/>
      <c r="AK70" s="620"/>
      <c r="AL70" s="620"/>
    </row>
    <row r="71" spans="1:38" ht="14.25" customHeight="1" thickTop="1">
      <c r="A71" s="638"/>
      <c r="B71" s="639"/>
      <c r="C71" s="640"/>
      <c r="D71" s="639"/>
      <c r="E71" s="561"/>
      <c r="F71" s="639"/>
      <c r="G71" s="561"/>
      <c r="H71" s="641"/>
      <c r="I71" s="561"/>
      <c r="J71" s="641"/>
      <c r="K71" s="561"/>
      <c r="L71" s="641"/>
      <c r="M71" s="561"/>
      <c r="N71" s="641"/>
      <c r="O71" s="561"/>
      <c r="P71" s="641"/>
      <c r="Q71" s="561"/>
      <c r="R71" s="641"/>
      <c r="S71" s="561"/>
      <c r="T71" s="641"/>
      <c r="U71" s="562"/>
      <c r="V71" s="641"/>
      <c r="W71" s="562"/>
      <c r="X71" s="641"/>
      <c r="Y71" s="639"/>
      <c r="Z71" s="640"/>
      <c r="AA71" s="639"/>
      <c r="AB71" s="639"/>
      <c r="AC71" s="640"/>
      <c r="AD71" s="639"/>
      <c r="AE71" s="642"/>
      <c r="AF71" s="639"/>
      <c r="AG71" s="639"/>
      <c r="AH71" s="643"/>
      <c r="AI71" s="644"/>
    </row>
    <row r="72" spans="1:38">
      <c r="L72" s="562"/>
      <c r="T72" s="645"/>
      <c r="U72" s="645"/>
      <c r="V72" s="645"/>
      <c r="W72" s="645"/>
      <c r="X72" s="645"/>
      <c r="AD72" s="2922"/>
    </row>
    <row r="73" spans="1:38" ht="12" customHeight="1">
      <c r="A73" s="579"/>
      <c r="L73" s="562"/>
      <c r="R73" s="646"/>
      <c r="T73" s="640"/>
      <c r="X73" s="640"/>
    </row>
    <row r="74" spans="1:38">
      <c r="L74" s="562"/>
      <c r="R74" s="646"/>
      <c r="T74" s="640"/>
      <c r="X74" s="640"/>
    </row>
    <row r="75" spans="1:38">
      <c r="A75" s="595"/>
      <c r="L75" s="562"/>
    </row>
    <row r="76" spans="1:38">
      <c r="A76" s="647"/>
      <c r="L76" s="562"/>
      <c r="R76" s="648"/>
    </row>
    <row r="77" spans="1:38">
      <c r="A77" s="649"/>
      <c r="L77" s="562"/>
    </row>
    <row r="78" spans="1:38">
      <c r="A78" s="650"/>
      <c r="L78" s="562"/>
      <c r="AI78" s="640"/>
    </row>
    <row r="79" spans="1:38">
      <c r="L79" s="562"/>
    </row>
    <row r="80" spans="1:38">
      <c r="L80" s="562"/>
    </row>
    <row r="81" spans="12:12">
      <c r="L81" s="562"/>
    </row>
    <row r="82" spans="12:12">
      <c r="L82" s="562"/>
    </row>
    <row r="83" spans="12:12">
      <c r="L83" s="562"/>
    </row>
    <row r="84" spans="12:12">
      <c r="L84" s="562"/>
    </row>
    <row r="85" spans="12:12">
      <c r="L85" s="562"/>
    </row>
    <row r="86" spans="12:12">
      <c r="L86" s="562"/>
    </row>
    <row r="87" spans="12:12">
      <c r="L87" s="562"/>
    </row>
    <row r="88" spans="12:12">
      <c r="L88" s="562"/>
    </row>
    <row r="89" spans="12:12">
      <c r="L89" s="562"/>
    </row>
    <row r="90" spans="12:12">
      <c r="L90" s="562"/>
    </row>
    <row r="91" spans="12:12">
      <c r="L91" s="562"/>
    </row>
    <row r="92" spans="12:12">
      <c r="L92" s="562"/>
    </row>
    <row r="93" spans="12:12">
      <c r="L93" s="562"/>
    </row>
    <row r="94" spans="12:12">
      <c r="L94" s="562"/>
    </row>
    <row r="95" spans="12:12">
      <c r="L95" s="562"/>
    </row>
    <row r="96" spans="12:12">
      <c r="L96" s="562"/>
    </row>
    <row r="97" spans="12:12">
      <c r="L97" s="562"/>
    </row>
    <row r="98" spans="12:12">
      <c r="L98" s="562"/>
    </row>
    <row r="99" spans="12:12">
      <c r="L99" s="562"/>
    </row>
    <row r="100" spans="12:12">
      <c r="L100" s="562"/>
    </row>
    <row r="101" spans="12:12">
      <c r="L101" s="562"/>
    </row>
    <row r="102" spans="12:12">
      <c r="L102" s="562"/>
    </row>
    <row r="103" spans="12:12">
      <c r="L103" s="562"/>
    </row>
    <row r="104" spans="12:12">
      <c r="L104" s="562"/>
    </row>
    <row r="105" spans="12:12">
      <c r="L105" s="562"/>
    </row>
    <row r="106" spans="12:12">
      <c r="L106" s="562"/>
    </row>
    <row r="107" spans="12:12">
      <c r="L107" s="562"/>
    </row>
    <row r="108" spans="12:12">
      <c r="L108" s="562"/>
    </row>
    <row r="109" spans="12:12">
      <c r="L109" s="562"/>
    </row>
    <row r="110" spans="12:12">
      <c r="L110" s="562"/>
    </row>
    <row r="111" spans="12:12">
      <c r="L111" s="562"/>
    </row>
    <row r="112" spans="12:12">
      <c r="L112" s="562"/>
    </row>
    <row r="113" spans="12:12">
      <c r="L113" s="562"/>
    </row>
    <row r="114" spans="12:12">
      <c r="L114" s="562"/>
    </row>
    <row r="115" spans="12:12">
      <c r="L115" s="562"/>
    </row>
    <row r="116" spans="12:12">
      <c r="L116" s="562"/>
    </row>
    <row r="117" spans="12:12">
      <c r="L117" s="562"/>
    </row>
    <row r="118" spans="12:12">
      <c r="L118" s="562"/>
    </row>
    <row r="119" spans="12:12">
      <c r="L119" s="562"/>
    </row>
    <row r="120" spans="12:12">
      <c r="L120" s="562"/>
    </row>
    <row r="121" spans="12:12">
      <c r="L121" s="562"/>
    </row>
    <row r="122" spans="12:12">
      <c r="L122" s="562"/>
    </row>
    <row r="123" spans="12:12">
      <c r="L123" s="562"/>
    </row>
    <row r="124" spans="12:12">
      <c r="L124" s="562"/>
    </row>
    <row r="125" spans="12:12">
      <c r="L125" s="562"/>
    </row>
    <row r="126" spans="12:12">
      <c r="L126" s="562"/>
    </row>
    <row r="127" spans="12:12">
      <c r="L127" s="562"/>
    </row>
    <row r="128" spans="12:12">
      <c r="L128" s="562"/>
    </row>
    <row r="129" spans="12:12">
      <c r="L129" s="562"/>
    </row>
    <row r="130" spans="12:12">
      <c r="L130" s="562"/>
    </row>
    <row r="131" spans="12:12">
      <c r="L131" s="562"/>
    </row>
    <row r="132" spans="12:12">
      <c r="L132" s="562"/>
    </row>
    <row r="133" spans="12:12">
      <c r="L133" s="562"/>
    </row>
    <row r="134" spans="12:12">
      <c r="L134" s="562"/>
    </row>
    <row r="135" spans="12:12">
      <c r="L135" s="562"/>
    </row>
    <row r="136" spans="12:12">
      <c r="L136" s="562"/>
    </row>
    <row r="137" spans="12:12">
      <c r="L137" s="562"/>
    </row>
    <row r="138" spans="12:12">
      <c r="L138" s="562"/>
    </row>
    <row r="139" spans="12:12">
      <c r="L139" s="562"/>
    </row>
    <row r="140" spans="12:12">
      <c r="L140" s="562"/>
    </row>
    <row r="141" spans="12:12">
      <c r="L141" s="562"/>
    </row>
    <row r="142" spans="12:12">
      <c r="L142" s="562"/>
    </row>
    <row r="143" spans="12:12">
      <c r="L143" s="562"/>
    </row>
    <row r="144" spans="12:12">
      <c r="L144" s="562"/>
    </row>
    <row r="145" spans="12:12">
      <c r="L145" s="562"/>
    </row>
    <row r="146" spans="12:12">
      <c r="L146" s="562"/>
    </row>
    <row r="147" spans="12:12">
      <c r="L147" s="562"/>
    </row>
    <row r="148" spans="12:12">
      <c r="L148" s="562"/>
    </row>
    <row r="149" spans="12:12">
      <c r="L149" s="562"/>
    </row>
    <row r="150" spans="12:12">
      <c r="L150" s="562"/>
    </row>
    <row r="151" spans="12:12">
      <c r="L151" s="562"/>
    </row>
    <row r="152" spans="12:12">
      <c r="L152" s="562"/>
    </row>
    <row r="153" spans="12:12">
      <c r="L153" s="562"/>
    </row>
    <row r="154" spans="12:12">
      <c r="L154" s="562"/>
    </row>
    <row r="155" spans="12:12">
      <c r="L155" s="562"/>
    </row>
    <row r="156" spans="12:12">
      <c r="L156" s="562"/>
    </row>
    <row r="157" spans="12:12">
      <c r="L157" s="562"/>
    </row>
    <row r="158" spans="12:12">
      <c r="L158" s="562"/>
    </row>
    <row r="159" spans="12:12">
      <c r="L159" s="562"/>
    </row>
    <row r="160" spans="12:12">
      <c r="L160" s="562"/>
    </row>
    <row r="161" spans="12:12">
      <c r="L161" s="562"/>
    </row>
    <row r="162" spans="12:12">
      <c r="L162" s="562"/>
    </row>
    <row r="163" spans="12:12">
      <c r="L163" s="562"/>
    </row>
    <row r="164" spans="12:12">
      <c r="L164" s="562"/>
    </row>
    <row r="165" spans="12:12">
      <c r="L165" s="562"/>
    </row>
    <row r="166" spans="12:12">
      <c r="L166" s="562"/>
    </row>
    <row r="167" spans="12:12">
      <c r="L167" s="562"/>
    </row>
    <row r="168" spans="12:12">
      <c r="L168" s="562"/>
    </row>
    <row r="169" spans="12:12">
      <c r="L169" s="562"/>
    </row>
    <row r="170" spans="12:12">
      <c r="L170" s="562"/>
    </row>
    <row r="171" spans="12:12">
      <c r="L171" s="562"/>
    </row>
    <row r="172" spans="12:12">
      <c r="L172" s="562"/>
    </row>
    <row r="173" spans="12:12">
      <c r="L173" s="562"/>
    </row>
    <row r="174" spans="12:12">
      <c r="L174" s="562"/>
    </row>
    <row r="175" spans="12:12">
      <c r="L175" s="562"/>
    </row>
    <row r="176" spans="12:12">
      <c r="L176" s="562"/>
    </row>
    <row r="177" spans="12:12">
      <c r="L177" s="562"/>
    </row>
    <row r="178" spans="12:12">
      <c r="L178" s="562"/>
    </row>
    <row r="179" spans="12:12">
      <c r="L179" s="562"/>
    </row>
    <row r="180" spans="12:12">
      <c r="L180" s="562"/>
    </row>
    <row r="181" spans="12:12">
      <c r="L181" s="562"/>
    </row>
    <row r="182" spans="12:12">
      <c r="L182" s="562"/>
    </row>
    <row r="183" spans="12:12">
      <c r="L183" s="562"/>
    </row>
    <row r="184" spans="12:12">
      <c r="L184" s="562"/>
    </row>
    <row r="185" spans="12:12">
      <c r="L185" s="562"/>
    </row>
    <row r="186" spans="12:12">
      <c r="L186" s="562"/>
    </row>
    <row r="187" spans="12:12">
      <c r="L187" s="562"/>
    </row>
    <row r="188" spans="12:12">
      <c r="L188" s="562"/>
    </row>
    <row r="189" spans="12:12">
      <c r="L189" s="562"/>
    </row>
    <row r="190" spans="12:12">
      <c r="L190" s="562"/>
    </row>
    <row r="191" spans="12:12">
      <c r="L191" s="562"/>
    </row>
    <row r="192" spans="12:12">
      <c r="L192" s="562"/>
    </row>
    <row r="193" spans="12:12">
      <c r="L193" s="562"/>
    </row>
    <row r="194" spans="12:12">
      <c r="L194" s="562"/>
    </row>
    <row r="195" spans="12:12">
      <c r="L195" s="562"/>
    </row>
    <row r="196" spans="12:12">
      <c r="L196" s="562"/>
    </row>
    <row r="197" spans="12:12">
      <c r="L197" s="562"/>
    </row>
    <row r="198" spans="12:12">
      <c r="L198" s="562"/>
    </row>
    <row r="199" spans="12:12">
      <c r="L199" s="562"/>
    </row>
    <row r="200" spans="12:12">
      <c r="L200" s="562"/>
    </row>
    <row r="201" spans="12:12">
      <c r="L201" s="562"/>
    </row>
    <row r="202" spans="12:12">
      <c r="L202" s="562"/>
    </row>
    <row r="203" spans="12:12">
      <c r="L203" s="562"/>
    </row>
    <row r="204" spans="12:12">
      <c r="L204" s="562"/>
    </row>
    <row r="205" spans="12:12">
      <c r="L205" s="562"/>
    </row>
    <row r="206" spans="12:12">
      <c r="L206" s="562"/>
    </row>
    <row r="207" spans="12:12">
      <c r="L207" s="562"/>
    </row>
    <row r="208" spans="12:12">
      <c r="L208" s="562"/>
    </row>
    <row r="209" spans="12:12">
      <c r="L209" s="562"/>
    </row>
    <row r="210" spans="12:12">
      <c r="L210" s="562"/>
    </row>
    <row r="211" spans="12:12">
      <c r="L211" s="562"/>
    </row>
    <row r="212" spans="12:12">
      <c r="L212" s="562"/>
    </row>
    <row r="213" spans="12:12">
      <c r="L213" s="562"/>
    </row>
    <row r="214" spans="12:12">
      <c r="L214" s="562"/>
    </row>
    <row r="215" spans="12:12">
      <c r="L215" s="562"/>
    </row>
    <row r="216" spans="12:12">
      <c r="L216" s="562"/>
    </row>
    <row r="217" spans="12:12">
      <c r="L217" s="562"/>
    </row>
    <row r="218" spans="12:12">
      <c r="L218" s="562"/>
    </row>
    <row r="219" spans="12:12">
      <c r="L219" s="562"/>
    </row>
    <row r="220" spans="12:12">
      <c r="L220" s="562"/>
    </row>
    <row r="221" spans="12:12">
      <c r="L221" s="562"/>
    </row>
    <row r="222" spans="12:12">
      <c r="L222" s="562"/>
    </row>
    <row r="223" spans="12:12">
      <c r="L223" s="562"/>
    </row>
    <row r="224" spans="12:12">
      <c r="L224" s="562"/>
    </row>
    <row r="225" spans="12:12">
      <c r="L225" s="562"/>
    </row>
    <row r="226" spans="12:12">
      <c r="L226" s="562"/>
    </row>
    <row r="227" spans="12:12">
      <c r="L227" s="562"/>
    </row>
    <row r="228" spans="12:12">
      <c r="L228" s="562"/>
    </row>
    <row r="229" spans="12:12">
      <c r="L229" s="562"/>
    </row>
    <row r="230" spans="12:12">
      <c r="L230" s="562"/>
    </row>
    <row r="231" spans="12:12">
      <c r="L231" s="562"/>
    </row>
    <row r="232" spans="12:12">
      <c r="L232" s="562"/>
    </row>
    <row r="233" spans="12:12">
      <c r="L233" s="562"/>
    </row>
    <row r="234" spans="12:12">
      <c r="L234" s="562"/>
    </row>
    <row r="235" spans="12:12">
      <c r="L235" s="562"/>
    </row>
    <row r="236" spans="12:12">
      <c r="L236" s="562"/>
    </row>
    <row r="237" spans="12:12">
      <c r="L237" s="562"/>
    </row>
    <row r="238" spans="12:12">
      <c r="L238" s="562"/>
    </row>
    <row r="239" spans="12:12">
      <c r="L239" s="562"/>
    </row>
    <row r="240" spans="12:12">
      <c r="L240" s="562"/>
    </row>
    <row r="241" spans="12:12">
      <c r="L241" s="562"/>
    </row>
    <row r="242" spans="12:12">
      <c r="L242" s="562"/>
    </row>
    <row r="243" spans="12:12">
      <c r="L243" s="562"/>
    </row>
    <row r="244" spans="12:12">
      <c r="L244" s="562"/>
    </row>
    <row r="245" spans="12:12">
      <c r="L245" s="562"/>
    </row>
    <row r="246" spans="12:12">
      <c r="L246" s="562"/>
    </row>
    <row r="247" spans="12:12">
      <c r="L247" s="562"/>
    </row>
    <row r="248" spans="12:12">
      <c r="L248" s="562"/>
    </row>
    <row r="249" spans="12:12">
      <c r="L249" s="562"/>
    </row>
    <row r="250" spans="12:12">
      <c r="L250" s="562"/>
    </row>
    <row r="251" spans="12:12">
      <c r="L251" s="562"/>
    </row>
    <row r="252" spans="12:12">
      <c r="L252" s="562"/>
    </row>
    <row r="253" spans="12:12">
      <c r="L253" s="562"/>
    </row>
    <row r="254" spans="12:12">
      <c r="L254" s="562"/>
    </row>
  </sheetData>
  <customSheetViews>
    <customSheetView guid="{BD09DBC2-63A5-4D9C-9B00-4281066E9389}" scale="70" showPageBreaks="1" showGridLines="0" printArea="1" topLeftCell="A7">
      <selection activeCell="X38" sqref="X38"/>
      <rowBreaks count="1" manualBreakCount="1">
        <brk id="82" max="34" man="1"/>
      </rowBreaks>
      <pageMargins left="0.5" right="0.5" top="0.5" bottom="0.3" header="0.5" footer="0.25"/>
      <pageSetup scale="46" firstPageNumber="28" orientation="landscape" useFirstPageNumber="1" r:id="rId1"/>
      <headerFooter scaleWithDoc="0" alignWithMargins="0">
        <oddFooter>&amp;C&amp;8&amp;P</oddFooter>
      </headerFooter>
    </customSheetView>
    <customSheetView guid="{C82E0A7D-2B5B-48FC-A705-3168E651E04C}" scale="70" showPageBreaks="1" showGridLines="0" fitToPage="1" printArea="1">
      <selection activeCell="D28" sqref="D28"/>
      <rowBreaks count="1" manualBreakCount="1">
        <brk id="45" max="34" man="1"/>
      </rowBreaks>
      <pageMargins left="0.5" right="0.5" top="0.5" bottom="0.3" header="0.5" footer="0.25"/>
      <pageSetup scale="47" orientation="landscape" r:id="rId2"/>
      <headerFooter scaleWithDoc="0" alignWithMargins="0">
        <oddFooter>&amp;C&amp;8 28</oddFooter>
      </headerFooter>
    </customSheetView>
    <customSheetView guid="{A8B05C3B-0E7E-44A3-A097-AF4C5C09F04E}" scale="70" showPageBreaks="1" showGridLines="0" fitToPage="1" printArea="1">
      <selection activeCell="AA8" sqref="AA8:AI8"/>
      <rowBreaks count="1" manualBreakCount="1">
        <brk id="44" max="34" man="1"/>
      </rowBreaks>
      <pageMargins left="0.5" right="0.5" top="0.5" bottom="0.3" header="0.5" footer="0.25"/>
      <pageSetup scale="47" orientation="landscape" r:id="rId3"/>
      <headerFooter scaleWithDoc="0" alignWithMargins="0">
        <oddFooter>&amp;C&amp;8 28</oddFooter>
      </headerFooter>
    </customSheetView>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4"/>
      <headerFooter scaleWithDoc="0" alignWithMargins="0">
        <oddFooter>&amp;C&amp;8 28</oddFooter>
      </headerFooter>
    </customSheetView>
    <customSheetView guid="{4735AAE3-27B4-4549-AAB4-50ACA997F5F5}" scale="70" showPageBreaks="1" showGridLines="0" fitToPage="1" printArea="1" topLeftCell="B37">
      <selection activeCell="AA2" sqref="AA2"/>
      <rowBreaks count="1" manualBreakCount="1">
        <brk id="44" max="34" man="1"/>
      </rowBreaks>
      <pageMargins left="0.5" right="0.5" top="0.5" bottom="0.3" header="0.5" footer="0.25"/>
      <pageSetup scale="47" orientation="landscape" r:id="rId5"/>
      <headerFooter scaleWithDoc="0" alignWithMargins="0">
        <oddFooter>&amp;C&amp;8 28</oddFooter>
      </headerFooter>
    </customSheetView>
    <customSheetView guid="{80622567-647A-4891-B8EE-6B9E2C4DAC44}" scale="70" showPageBreaks="1" showGridLines="0" fitToPage="1" printArea="1">
      <selection activeCell="A17" sqref="A17:XFD17"/>
      <rowBreaks count="1" manualBreakCount="1">
        <brk id="48" max="34" man="1"/>
      </rowBreaks>
      <pageMargins left="0.5" right="0.5" top="0.5" bottom="0.3" header="0.5" footer="0.25"/>
      <pageSetup scale="47" orientation="landscape" r:id="rId6"/>
      <headerFooter scaleWithDoc="0" alignWithMargins="0">
        <oddFooter>&amp;C&amp;8 28</oddFooter>
      </headerFooter>
    </customSheetView>
    <customSheetView guid="{A97EE6C3-4DA8-41BD-BE43-F596EFCB43CA}" scale="70" showPageBreaks="1" showGridLines="0" fitToPage="1" printArea="1" topLeftCell="C52">
      <selection activeCell="F52" sqref="F52"/>
      <rowBreaks count="1" manualBreakCount="1">
        <brk id="48" max="34" man="1"/>
      </rowBreaks>
      <pageMargins left="0.5" right="0.5" top="0.5" bottom="0.3" header="0.5" footer="0.25"/>
      <pageSetup scale="47" orientation="landscape" r:id="rId7"/>
      <headerFooter scaleWithDoc="0" alignWithMargins="0">
        <oddFooter>&amp;C&amp;8 28</oddFooter>
      </headerFooter>
    </customSheetView>
    <customSheetView guid="{90B76C5A-2FC4-40F0-8436-3E4F075A4887}" scale="70" showPageBreaks="1" showGridLines="0" fitToPage="1" printArea="1" topLeftCell="A4">
      <selection activeCell="R37" sqref="R37"/>
      <rowBreaks count="1" manualBreakCount="1">
        <brk id="48" max="34" man="1"/>
      </rowBreaks>
      <pageMargins left="0.5" right="0.5" top="0.5" bottom="0.3" header="0.5" footer="0.25"/>
      <pageSetup scale="47" orientation="landscape" r:id="rId8"/>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9"/>
  <headerFooter scaleWithDoc="0" alignWithMargins="0">
    <oddFooter>&amp;C&amp;8&amp;P</oddFooter>
  </headerFooter>
  <rowBreaks count="1" manualBreakCount="1">
    <brk id="82" max="34" man="1"/>
  </rowBreaks>
  <ignoredErrors>
    <ignoredError sqref="AJ35 AI18:AI24 AJ36:AJ38 AJ39 AI39 AI36:AI38 AI42 AI35 AI43:AI60 AI40:AI41 AI61:AI62 AI63:AI70" unlockedFormula="1"/>
    <ignoredError sqref="C40 E40 G40 I40 K40" formulaRange="1"/>
  </ignoredErrors>
</worksheet>
</file>

<file path=xl/worksheets/sheet23.xml><?xml version="1.0" encoding="utf-8"?>
<worksheet xmlns="http://schemas.openxmlformats.org/spreadsheetml/2006/main" xmlns:r="http://schemas.openxmlformats.org/officeDocument/2006/relationships">
  <sheetPr codeName="Sheet21"/>
  <dimension ref="A1:BA108"/>
  <sheetViews>
    <sheetView showGridLines="0" zoomScale="70" zoomScaleNormal="70" workbookViewId="0"/>
  </sheetViews>
  <sheetFormatPr defaultRowHeight="15"/>
  <cols>
    <col min="1" max="1" width="2.5546875" style="306" customWidth="1"/>
    <col min="2" max="2" width="15.6640625" style="306" customWidth="1"/>
    <col min="3" max="3" width="32.77734375" style="306" customWidth="1"/>
    <col min="4" max="4" width="2" style="306" customWidth="1"/>
    <col min="5" max="5" width="12.5546875" style="306" customWidth="1"/>
    <col min="6" max="6" width="1.77734375" style="306" customWidth="1"/>
    <col min="7" max="7" width="10.6640625" style="306" customWidth="1"/>
    <col min="8" max="8" width="1.77734375" style="306" customWidth="1"/>
    <col min="9" max="9" width="12.6640625" style="306" customWidth="1"/>
    <col min="10" max="10" width="1.77734375" style="306" customWidth="1"/>
    <col min="11" max="11" width="13.21875" style="306" customWidth="1"/>
    <col min="12" max="12" width="1.21875" style="306" customWidth="1"/>
    <col min="13" max="13" width="10.5546875" style="306" customWidth="1"/>
    <col min="14" max="14" width="1.77734375" style="306" customWidth="1"/>
    <col min="15" max="15" width="12.44140625" style="306" customWidth="1"/>
    <col min="16" max="16" width="1.77734375" style="306" customWidth="1"/>
    <col min="17" max="17" width="11.109375" style="306" customWidth="1"/>
    <col min="18" max="18" width="1.77734375" style="306" customWidth="1"/>
    <col min="19" max="19" width="12.21875" style="306" customWidth="1"/>
    <col min="20" max="20" width="1.77734375" style="306" customWidth="1"/>
    <col min="21" max="21" width="10.77734375" style="306" customWidth="1"/>
    <col min="22" max="22" width="1.77734375" style="306" customWidth="1"/>
    <col min="23" max="23" width="9" style="306" bestFit="1" customWidth="1"/>
    <col min="24" max="24" width="1.77734375" style="306" customWidth="1"/>
    <col min="25" max="25" width="10.77734375" style="306" customWidth="1"/>
    <col min="26" max="26" width="1.77734375" style="306" customWidth="1"/>
    <col min="27" max="27" width="9" style="306" bestFit="1" customWidth="1"/>
    <col min="28" max="29" width="1.77734375" style="306" customWidth="1"/>
    <col min="30" max="30" width="12.6640625" style="306" customWidth="1"/>
    <col min="31" max="32" width="1.109375" style="306" customWidth="1"/>
    <col min="33" max="33" width="12.6640625" style="306" customWidth="1"/>
    <col min="34" max="35" width="1" style="306" customWidth="1"/>
    <col min="36" max="36" width="13.109375" style="306" bestFit="1" customWidth="1"/>
    <col min="37" max="37" width="1.33203125" style="306" customWidth="1"/>
    <col min="38" max="38" width="12.33203125" style="306" customWidth="1"/>
    <col min="39" max="16384" width="8.88671875" style="306"/>
  </cols>
  <sheetData>
    <row r="1" spans="1:40">
      <c r="B1" s="1227" t="s">
        <v>1322</v>
      </c>
    </row>
    <row r="2" spans="1:40">
      <c r="B2" s="1876"/>
    </row>
    <row r="3" spans="1:40" ht="19.5" customHeight="1">
      <c r="A3" s="651"/>
      <c r="B3" s="657" t="s">
        <v>0</v>
      </c>
      <c r="C3" s="652"/>
      <c r="D3" s="652"/>
      <c r="E3" s="652"/>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653"/>
      <c r="AL3" s="756" t="s">
        <v>206</v>
      </c>
    </row>
    <row r="4" spans="1:40" ht="19.5" customHeight="1">
      <c r="A4" s="651"/>
      <c r="B4" s="657" t="s">
        <v>1383</v>
      </c>
      <c r="C4" s="652"/>
      <c r="D4" s="652"/>
      <c r="E4" s="652"/>
      <c r="F4" s="653"/>
      <c r="G4" s="653"/>
      <c r="H4" s="653"/>
      <c r="I4" s="653"/>
      <c r="J4" s="653"/>
      <c r="K4" s="653"/>
      <c r="L4" s="653"/>
      <c r="M4" s="653"/>
      <c r="N4" s="653"/>
      <c r="O4" s="653"/>
      <c r="P4" s="653"/>
      <c r="Q4" s="653"/>
      <c r="R4" s="653"/>
      <c r="S4" s="653"/>
      <c r="T4" s="653"/>
      <c r="U4" s="653"/>
      <c r="V4" s="653"/>
      <c r="W4" s="653"/>
      <c r="X4" s="653"/>
      <c r="Y4" s="653"/>
      <c r="Z4" s="653"/>
      <c r="AA4" s="653"/>
      <c r="AB4" s="653"/>
      <c r="AC4" s="653"/>
      <c r="AE4" s="654"/>
      <c r="AF4" s="654"/>
    </row>
    <row r="5" spans="1:40" ht="19.5" customHeight="1">
      <c r="A5" s="651"/>
      <c r="B5" s="566" t="s">
        <v>155</v>
      </c>
      <c r="C5" s="652"/>
      <c r="D5" s="652"/>
      <c r="E5" s="652"/>
      <c r="F5" s="653"/>
      <c r="G5" s="653"/>
      <c r="H5" s="653"/>
      <c r="I5" s="653"/>
      <c r="J5" s="653"/>
      <c r="K5" s="653"/>
      <c r="L5" s="653"/>
      <c r="M5" s="653"/>
      <c r="N5" s="653"/>
      <c r="O5" s="653"/>
      <c r="P5" s="653"/>
      <c r="Q5" s="653"/>
      <c r="R5" s="653"/>
      <c r="S5" s="653"/>
      <c r="T5" s="653"/>
      <c r="U5" s="653"/>
      <c r="V5" s="653"/>
      <c r="W5" s="653"/>
      <c r="X5" s="653"/>
      <c r="Y5" s="653"/>
      <c r="Z5" s="653"/>
      <c r="AA5" s="653"/>
      <c r="AB5" s="653"/>
      <c r="AC5" s="653"/>
      <c r="AD5" s="653"/>
      <c r="AE5" s="653"/>
      <c r="AF5" s="653"/>
      <c r="AG5" s="653"/>
      <c r="AH5" s="653"/>
      <c r="AI5" s="653"/>
      <c r="AL5" s="512"/>
    </row>
    <row r="6" spans="1:40" ht="19.5" customHeight="1">
      <c r="A6" s="651"/>
      <c r="B6" s="471" t="s">
        <v>1177</v>
      </c>
      <c r="C6" s="652"/>
      <c r="D6" s="652"/>
      <c r="E6" s="652"/>
      <c r="F6" s="653"/>
      <c r="G6" s="653"/>
      <c r="H6" s="655"/>
      <c r="I6" s="653"/>
      <c r="J6" s="653"/>
      <c r="K6" s="653"/>
      <c r="L6" s="653"/>
      <c r="M6" s="653"/>
      <c r="N6" s="653"/>
      <c r="O6" s="653"/>
      <c r="P6" s="653"/>
      <c r="Q6" s="653"/>
      <c r="R6" s="653"/>
      <c r="S6" s="653"/>
      <c r="T6" s="653"/>
      <c r="U6" s="653"/>
      <c r="V6" s="653"/>
      <c r="W6" s="653"/>
      <c r="X6" s="653"/>
      <c r="Y6" s="653"/>
      <c r="Z6" s="653"/>
      <c r="AA6" s="653"/>
      <c r="AB6" s="653"/>
      <c r="AC6" s="653"/>
      <c r="AD6" s="653"/>
      <c r="AE6" s="656"/>
      <c r="AF6" s="656"/>
      <c r="AG6" s="656"/>
      <c r="AH6" s="656"/>
      <c r="AI6" s="656"/>
    </row>
    <row r="7" spans="1:40" ht="19.5" customHeight="1">
      <c r="A7" s="651"/>
      <c r="B7" s="657" t="s">
        <v>1200</v>
      </c>
      <c r="C7" s="652"/>
      <c r="D7" s="652"/>
      <c r="E7" s="652"/>
      <c r="F7" s="653"/>
      <c r="G7" s="653"/>
      <c r="H7" s="655"/>
      <c r="I7" s="653"/>
      <c r="J7" s="653"/>
      <c r="K7" s="653"/>
      <c r="L7" s="653"/>
      <c r="M7" s="653"/>
      <c r="N7" s="653"/>
      <c r="O7" s="653"/>
      <c r="P7" s="653"/>
      <c r="Q7" s="653"/>
      <c r="R7" s="653"/>
      <c r="S7" s="653"/>
      <c r="T7" s="653"/>
      <c r="U7" s="653"/>
      <c r="V7" s="653"/>
      <c r="W7" s="653"/>
      <c r="X7" s="653"/>
      <c r="Y7" s="653"/>
      <c r="Z7" s="653"/>
      <c r="AA7" s="653"/>
      <c r="AB7" s="653"/>
      <c r="AC7" s="653"/>
      <c r="AD7" s="653"/>
      <c r="AE7" s="656"/>
      <c r="AF7" s="656"/>
      <c r="AG7" s="656"/>
      <c r="AH7" s="656"/>
      <c r="AI7" s="656"/>
    </row>
    <row r="8" spans="1:40" ht="19.5" customHeight="1">
      <c r="A8" s="651"/>
      <c r="C8" s="652"/>
      <c r="D8" s="652"/>
      <c r="E8" s="652"/>
      <c r="F8" s="653"/>
      <c r="G8" s="653"/>
      <c r="H8" s="653"/>
      <c r="I8" s="653"/>
      <c r="J8" s="653"/>
      <c r="K8" s="653"/>
      <c r="L8" s="653"/>
      <c r="M8" s="653"/>
      <c r="N8" s="653"/>
      <c r="O8" s="653"/>
      <c r="P8" s="653"/>
      <c r="Q8" s="653"/>
      <c r="R8" s="653"/>
      <c r="S8" s="653"/>
      <c r="T8" s="653"/>
      <c r="U8" s="653"/>
      <c r="V8" s="653"/>
      <c r="W8" s="653"/>
      <c r="X8" s="653"/>
      <c r="Y8" s="653"/>
      <c r="Z8" s="653"/>
      <c r="AA8" s="653"/>
      <c r="AB8" s="653"/>
      <c r="AC8" s="658"/>
    </row>
    <row r="9" spans="1:40" ht="15.75" customHeight="1">
      <c r="A9" s="651"/>
      <c r="B9" s="657"/>
      <c r="C9" s="652"/>
      <c r="D9" s="652"/>
      <c r="E9" s="652"/>
      <c r="F9" s="653"/>
      <c r="G9" s="653"/>
      <c r="H9" s="653"/>
      <c r="I9" s="653"/>
      <c r="J9" s="653"/>
      <c r="K9" s="653"/>
      <c r="L9" s="653"/>
      <c r="M9" s="653"/>
      <c r="N9" s="653"/>
      <c r="O9" s="653"/>
      <c r="P9" s="653"/>
      <c r="Q9" s="653"/>
      <c r="R9" s="653"/>
      <c r="S9" s="653"/>
      <c r="T9" s="653"/>
      <c r="U9" s="653"/>
      <c r="V9" s="653"/>
      <c r="W9" s="653"/>
      <c r="X9" s="653"/>
      <c r="Y9" s="653"/>
      <c r="Z9" s="653"/>
      <c r="AA9" s="653"/>
      <c r="AB9" s="653"/>
      <c r="AC9" s="658"/>
    </row>
    <row r="10" spans="1:40" ht="15.75" customHeight="1">
      <c r="A10" s="651"/>
      <c r="B10" s="659"/>
      <c r="C10" s="652"/>
      <c r="D10" s="652"/>
      <c r="E10" s="652"/>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8"/>
      <c r="AD10" s="3361" t="s">
        <v>1630</v>
      </c>
      <c r="AE10" s="3368"/>
      <c r="AF10" s="3368"/>
      <c r="AG10" s="3368"/>
      <c r="AH10" s="3368"/>
      <c r="AI10" s="3368"/>
      <c r="AJ10" s="3368"/>
      <c r="AK10" s="3368"/>
      <c r="AL10" s="3368"/>
    </row>
    <row r="11" spans="1:40" ht="15.75" customHeight="1">
      <c r="A11" s="651"/>
      <c r="B11" s="659"/>
      <c r="C11" s="652"/>
      <c r="D11" s="652"/>
      <c r="E11" s="1655"/>
      <c r="F11" s="1656"/>
      <c r="G11" s="1656"/>
      <c r="H11" s="1656"/>
      <c r="I11" s="1656"/>
      <c r="J11" s="1656"/>
      <c r="K11" s="1656"/>
      <c r="L11" s="1656"/>
      <c r="M11" s="1656"/>
      <c r="N11" s="1656"/>
      <c r="O11" s="1656"/>
      <c r="P11" s="1656"/>
      <c r="Q11" s="1656"/>
      <c r="R11" s="1656"/>
      <c r="S11" s="1656"/>
      <c r="T11" s="1656"/>
      <c r="U11" s="1656"/>
      <c r="V11" s="1656"/>
      <c r="W11" s="1656"/>
      <c r="X11" s="1656"/>
      <c r="Y11" s="1656"/>
      <c r="Z11" s="1656"/>
      <c r="AA11" s="1656"/>
      <c r="AB11" s="1656"/>
      <c r="AC11" s="1657"/>
      <c r="AD11" s="1612"/>
      <c r="AE11" s="1658"/>
      <c r="AF11" s="1658"/>
      <c r="AG11" s="1658"/>
      <c r="AH11" s="1658"/>
      <c r="AI11" s="1658"/>
      <c r="AJ11" s="1658"/>
      <c r="AK11" s="1658"/>
      <c r="AL11" s="1658"/>
    </row>
    <row r="12" spans="1:40" ht="15.75" customHeight="1">
      <c r="A12" s="660"/>
      <c r="B12" s="660"/>
      <c r="C12" s="660"/>
      <c r="D12" s="660"/>
      <c r="E12" s="1627">
        <v>2014</v>
      </c>
      <c r="F12" s="1659"/>
      <c r="G12" s="1659"/>
      <c r="H12" s="1659"/>
      <c r="I12" s="1659"/>
      <c r="J12" s="1659"/>
      <c r="K12" s="1659"/>
      <c r="L12" s="1659"/>
      <c r="M12" s="1659"/>
      <c r="N12" s="1659"/>
      <c r="O12" s="1659"/>
      <c r="P12" s="1659"/>
      <c r="Q12" s="1659"/>
      <c r="R12" s="1659"/>
      <c r="S12" s="1659"/>
      <c r="T12" s="1659"/>
      <c r="U12" s="1659"/>
      <c r="V12" s="1659"/>
      <c r="W12" s="1627">
        <v>2015</v>
      </c>
      <c r="X12" s="1659"/>
      <c r="Y12" s="1659"/>
      <c r="Z12" s="1659"/>
      <c r="AA12" s="1659"/>
      <c r="AB12" s="1659"/>
      <c r="AC12" s="1659"/>
      <c r="AD12" s="1660"/>
      <c r="AE12" s="1660"/>
      <c r="AF12" s="1660"/>
      <c r="AG12" s="1660"/>
      <c r="AH12" s="1660"/>
      <c r="AI12" s="1660"/>
      <c r="AJ12" s="1634" t="s">
        <v>8</v>
      </c>
      <c r="AK12" s="1634"/>
      <c r="AL12" s="1629" t="s">
        <v>9</v>
      </c>
      <c r="AM12" s="1663"/>
    </row>
    <row r="13" spans="1:40" ht="15.75" customHeight="1">
      <c r="A13" s="227"/>
      <c r="B13" s="227"/>
      <c r="C13" s="227"/>
      <c r="D13" s="227"/>
      <c r="E13" s="2513" t="s">
        <v>131</v>
      </c>
      <c r="F13" s="483"/>
      <c r="G13" s="2513" t="s">
        <v>132</v>
      </c>
      <c r="H13" s="483"/>
      <c r="I13" s="2513" t="s">
        <v>133</v>
      </c>
      <c r="J13" s="483"/>
      <c r="K13" s="2513" t="s">
        <v>134</v>
      </c>
      <c r="L13" s="483"/>
      <c r="M13" s="2513" t="s">
        <v>135</v>
      </c>
      <c r="N13" s="483"/>
      <c r="O13" s="2513" t="s">
        <v>136</v>
      </c>
      <c r="P13" s="483"/>
      <c r="Q13" s="2513" t="s">
        <v>137</v>
      </c>
      <c r="R13" s="483"/>
      <c r="S13" s="2513" t="s">
        <v>138</v>
      </c>
      <c r="T13" s="483"/>
      <c r="U13" s="2513" t="s">
        <v>139</v>
      </c>
      <c r="V13" s="483"/>
      <c r="W13" s="2513" t="s">
        <v>156</v>
      </c>
      <c r="X13" s="483"/>
      <c r="Y13" s="2513" t="s">
        <v>141</v>
      </c>
      <c r="Z13" s="483"/>
      <c r="AA13" s="2513" t="s">
        <v>142</v>
      </c>
      <c r="AB13" s="483"/>
      <c r="AC13" s="483"/>
      <c r="AD13" s="2513">
        <v>2014</v>
      </c>
      <c r="AE13" s="483"/>
      <c r="AF13" s="483"/>
      <c r="AG13" s="1661">
        <v>2013</v>
      </c>
      <c r="AH13" s="1662"/>
      <c r="AI13" s="1662"/>
      <c r="AJ13" s="1642" t="s">
        <v>13</v>
      </c>
      <c r="AK13" s="1632"/>
      <c r="AL13" s="1642" t="s">
        <v>14</v>
      </c>
      <c r="AM13" s="2516"/>
      <c r="AN13" s="662"/>
    </row>
    <row r="14" spans="1:40" ht="3.75" customHeight="1">
      <c r="A14" s="227"/>
      <c r="B14" s="225"/>
      <c r="C14" s="225"/>
      <c r="D14" s="22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373"/>
      <c r="AJ14" s="662"/>
      <c r="AK14" s="662"/>
      <c r="AL14" s="662"/>
      <c r="AM14" s="662"/>
    </row>
    <row r="15" spans="1:40" ht="15.75" customHeight="1">
      <c r="A15" s="227"/>
      <c r="B15" s="380" t="s">
        <v>143</v>
      </c>
      <c r="C15" s="225"/>
      <c r="D15" s="227"/>
      <c r="E15" s="299">
        <v>-628.70000000000005</v>
      </c>
      <c r="F15" s="299"/>
      <c r="G15" s="299">
        <f>E99</f>
        <v>-617.4</v>
      </c>
      <c r="H15" s="299"/>
      <c r="I15" s="299">
        <f>G99</f>
        <v>-650.1</v>
      </c>
      <c r="J15" s="299"/>
      <c r="K15" s="299">
        <f>+I99</f>
        <v>-800.7</v>
      </c>
      <c r="L15" s="299"/>
      <c r="M15" s="299">
        <f>+K99</f>
        <v>-786.1</v>
      </c>
      <c r="N15" s="299"/>
      <c r="O15" s="299">
        <f>M99</f>
        <v>-979.4</v>
      </c>
      <c r="P15" s="299"/>
      <c r="Q15" s="299">
        <f>O99</f>
        <v>-1124</v>
      </c>
      <c r="R15" s="299"/>
      <c r="S15" s="299"/>
      <c r="T15" s="299"/>
      <c r="U15" s="299"/>
      <c r="V15" s="299"/>
      <c r="W15" s="299"/>
      <c r="X15" s="299"/>
      <c r="Y15" s="299"/>
      <c r="Z15" s="299"/>
      <c r="AA15" s="299"/>
      <c r="AB15" s="299"/>
      <c r="AC15" s="300"/>
      <c r="AD15" s="299">
        <f>+E15</f>
        <v>-628.70000000000005</v>
      </c>
      <c r="AE15" s="428"/>
      <c r="AF15" s="429"/>
      <c r="AG15" s="663">
        <v>-486</v>
      </c>
      <c r="AH15" s="299"/>
      <c r="AI15" s="664"/>
      <c r="AJ15" s="663">
        <f>+AD15-AG15</f>
        <v>-142.70000000000005</v>
      </c>
      <c r="AK15" s="665"/>
      <c r="AL15" s="117">
        <f>ROUND(IF(AG15=0,0,AJ15/(AG15)),3)</f>
        <v>0.29399999999999998</v>
      </c>
      <c r="AM15" s="667"/>
    </row>
    <row r="16" spans="1:40" ht="15.75" customHeight="1">
      <c r="A16" s="227"/>
      <c r="B16" s="225"/>
      <c r="C16" s="225"/>
      <c r="D16" s="227"/>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478"/>
      <c r="AD16" s="372"/>
      <c r="AE16" s="491"/>
      <c r="AF16" s="257"/>
      <c r="AG16" s="372"/>
      <c r="AH16" s="372"/>
      <c r="AI16" s="661"/>
      <c r="AJ16" s="662"/>
      <c r="AK16" s="662"/>
      <c r="AL16" s="662"/>
    </row>
    <row r="17" spans="1:44" ht="15.75">
      <c r="A17" s="227"/>
      <c r="B17" s="225" t="s">
        <v>207</v>
      </c>
      <c r="C17" s="227"/>
      <c r="D17" s="227"/>
      <c r="E17" s="372"/>
      <c r="F17" s="372"/>
      <c r="G17" s="372"/>
      <c r="H17" s="372"/>
      <c r="I17" s="372"/>
      <c r="J17" s="372"/>
      <c r="K17" s="372"/>
      <c r="L17" s="372"/>
      <c r="M17" s="372"/>
      <c r="N17" s="372"/>
      <c r="O17" s="372"/>
      <c r="P17" s="372"/>
      <c r="Q17" s="372"/>
      <c r="R17" s="372"/>
      <c r="S17" s="372"/>
      <c r="T17" s="372"/>
      <c r="U17" s="372"/>
      <c r="V17" s="372"/>
      <c r="W17" s="372"/>
      <c r="X17" s="372"/>
      <c r="Y17" s="372"/>
      <c r="Z17" s="372"/>
      <c r="AA17" s="372"/>
      <c r="AB17" s="372"/>
      <c r="AC17" s="478"/>
      <c r="AD17" s="372"/>
      <c r="AE17" s="491"/>
      <c r="AF17" s="257"/>
      <c r="AG17" s="372"/>
      <c r="AH17" s="372"/>
      <c r="AI17" s="661"/>
      <c r="AJ17" s="662"/>
      <c r="AK17" s="662"/>
      <c r="AL17" s="662"/>
    </row>
    <row r="18" spans="1:44" ht="15.75">
      <c r="A18" s="227"/>
      <c r="B18" s="495" t="s">
        <v>1495</v>
      </c>
      <c r="C18" s="227"/>
      <c r="D18" s="227"/>
      <c r="E18" s="372"/>
      <c r="F18" s="372"/>
      <c r="G18" s="372"/>
      <c r="H18" s="372"/>
      <c r="I18" s="372"/>
      <c r="J18" s="372"/>
      <c r="K18" s="372"/>
      <c r="L18" s="372"/>
      <c r="M18" s="372"/>
      <c r="N18" s="372"/>
      <c r="O18" s="372"/>
      <c r="P18" s="372"/>
      <c r="Q18" s="372"/>
      <c r="R18" s="372"/>
      <c r="S18" s="372"/>
      <c r="T18" s="372"/>
      <c r="U18" s="372"/>
      <c r="V18" s="372"/>
      <c r="W18" s="372"/>
      <c r="X18" s="372"/>
      <c r="Y18" s="372"/>
      <c r="Z18" s="372"/>
      <c r="AA18" s="372"/>
      <c r="AB18" s="372"/>
      <c r="AC18" s="478"/>
      <c r="AD18" s="372"/>
      <c r="AE18" s="2367"/>
      <c r="AF18" s="257"/>
      <c r="AG18" s="372"/>
      <c r="AH18" s="372"/>
      <c r="AI18" s="661"/>
      <c r="AJ18" s="662"/>
      <c r="AK18" s="662"/>
      <c r="AL18" s="662"/>
    </row>
    <row r="19" spans="1:44" ht="15.75">
      <c r="A19" s="227"/>
      <c r="B19" s="2346" t="s">
        <v>1569</v>
      </c>
      <c r="C19" s="227"/>
      <c r="D19" s="227"/>
      <c r="E19" s="372"/>
      <c r="F19" s="372"/>
      <c r="G19" s="372"/>
      <c r="H19" s="372"/>
      <c r="I19" s="372"/>
      <c r="J19" s="372"/>
      <c r="K19" s="372"/>
      <c r="L19" s="372"/>
      <c r="M19" s="372"/>
      <c r="N19" s="372"/>
      <c r="O19" s="372"/>
      <c r="P19" s="372"/>
      <c r="Q19" s="372"/>
      <c r="R19" s="372"/>
      <c r="S19" s="372"/>
      <c r="T19" s="372"/>
      <c r="U19" s="372"/>
      <c r="V19" s="372"/>
      <c r="W19" s="372"/>
      <c r="X19" s="372"/>
      <c r="Y19" s="372"/>
      <c r="Z19" s="372"/>
      <c r="AA19" s="372"/>
      <c r="AB19" s="372"/>
      <c r="AC19" s="478"/>
      <c r="AD19" s="372"/>
      <c r="AE19" s="2367"/>
      <c r="AF19" s="257"/>
      <c r="AG19" s="372"/>
      <c r="AH19" s="372"/>
      <c r="AI19" s="661"/>
      <c r="AJ19" s="662"/>
      <c r="AK19" s="662"/>
      <c r="AL19" s="662"/>
    </row>
    <row r="20" spans="1:44">
      <c r="A20" s="227"/>
      <c r="B20" s="1313" t="s">
        <v>1516</v>
      </c>
      <c r="C20" s="227"/>
      <c r="D20" s="227"/>
      <c r="E20" s="3039">
        <f>+' Exhibit I State'!E19</f>
        <v>2.2999999999999998</v>
      </c>
      <c r="F20" s="3228"/>
      <c r="G20" s="3039">
        <f>+' Exhibit I State'!G19</f>
        <v>0</v>
      </c>
      <c r="H20" s="3228"/>
      <c r="I20" s="3039">
        <f>+' Exhibit I State'!I19</f>
        <v>16.3</v>
      </c>
      <c r="J20" s="3279"/>
      <c r="K20" s="3039">
        <f>+' Exhibit I State'!K19</f>
        <v>1</v>
      </c>
      <c r="L20" s="3280"/>
      <c r="M20" s="3039">
        <f>+' Exhibit I State'!M19</f>
        <v>0.4</v>
      </c>
      <c r="N20" s="3280"/>
      <c r="O20" s="3039">
        <f>+' Exhibit I State'!O19</f>
        <v>23.5</v>
      </c>
      <c r="P20" s="567"/>
      <c r="Q20" s="3308">
        <f>+' Exhibit I State'!Q19</f>
        <v>0</v>
      </c>
      <c r="R20" s="567"/>
      <c r="S20" s="567"/>
      <c r="T20" s="567"/>
      <c r="U20" s="567"/>
      <c r="V20" s="567"/>
      <c r="W20" s="567"/>
      <c r="X20" s="567"/>
      <c r="Y20" s="567"/>
      <c r="Z20" s="567"/>
      <c r="AA20" s="567"/>
      <c r="AB20" s="2348"/>
      <c r="AC20" s="567"/>
      <c r="AD20" s="265">
        <f>ROUND(SUM(E20:AA20),1)</f>
        <v>43.5</v>
      </c>
      <c r="AE20" s="2349"/>
      <c r="AF20" s="568"/>
      <c r="AG20" s="597">
        <f>+' Exhibit I State'!AI19</f>
        <v>40.4</v>
      </c>
      <c r="AH20" s="572"/>
      <c r="AI20" s="592"/>
      <c r="AJ20" s="603">
        <f>ROUND(SUM(AD20-AG20),1)</f>
        <v>3.1</v>
      </c>
      <c r="AK20" s="578"/>
      <c r="AL20" s="45">
        <f>ROUND(IF(AG20=0,0,AJ20/(AG20)),3)</f>
        <v>7.6999999999999999E-2</v>
      </c>
      <c r="AM20" s="1046"/>
    </row>
    <row r="21" spans="1:44">
      <c r="A21" s="227"/>
      <c r="B21" s="1313" t="s">
        <v>1518</v>
      </c>
      <c r="C21" s="227"/>
      <c r="D21" s="227"/>
      <c r="E21" s="3039">
        <f>+' Exhibit I State'!E20</f>
        <v>32.6</v>
      </c>
      <c r="F21" s="3228"/>
      <c r="G21" s="3039">
        <f>+' Exhibit I State'!G20</f>
        <v>36.200000000000003</v>
      </c>
      <c r="H21" s="3228"/>
      <c r="I21" s="3039">
        <f>+' Exhibit I State'!I20</f>
        <v>29.3</v>
      </c>
      <c r="J21" s="3279"/>
      <c r="K21" s="3039">
        <f>+' Exhibit I State'!K20</f>
        <v>32.200000000000003</v>
      </c>
      <c r="L21" s="3280"/>
      <c r="M21" s="3039">
        <f>+' Exhibit I State'!M20</f>
        <v>39.4</v>
      </c>
      <c r="N21" s="3280"/>
      <c r="O21" s="3039">
        <f>+' Exhibit I State'!O20</f>
        <v>32.6</v>
      </c>
      <c r="P21" s="567"/>
      <c r="Q21" s="3308">
        <f>+' Exhibit I State'!Q20</f>
        <v>32.5</v>
      </c>
      <c r="R21" s="567"/>
      <c r="S21" s="567"/>
      <c r="T21" s="567"/>
      <c r="U21" s="567"/>
      <c r="V21" s="567"/>
      <c r="W21" s="567"/>
      <c r="X21" s="567"/>
      <c r="Y21" s="567"/>
      <c r="Z21" s="567"/>
      <c r="AA21" s="567"/>
      <c r="AB21" s="2348"/>
      <c r="AC21" s="567"/>
      <c r="AD21" s="265">
        <f>ROUND(SUM(E21:AA21),1)</f>
        <v>234.8</v>
      </c>
      <c r="AE21" s="2349"/>
      <c r="AF21" s="568"/>
      <c r="AG21" s="597">
        <f>+' Exhibit I State'!AI20</f>
        <v>228.2</v>
      </c>
      <c r="AH21" s="572"/>
      <c r="AI21" s="592"/>
      <c r="AJ21" s="603">
        <f>ROUND(SUM(AD21-AG21),1)</f>
        <v>6.6</v>
      </c>
      <c r="AK21" s="578"/>
      <c r="AL21" s="45">
        <f>ROUND(IF(AG21=0,0,AJ21/(AG21)),3)</f>
        <v>2.9000000000000001E-2</v>
      </c>
      <c r="AM21" s="1046"/>
    </row>
    <row r="22" spans="1:44">
      <c r="A22" s="227"/>
      <c r="B22" s="1313" t="s">
        <v>1520</v>
      </c>
      <c r="C22" s="227"/>
      <c r="D22" s="227"/>
      <c r="E22" s="3039">
        <f>+' Exhibit I State'!E21</f>
        <v>12.9</v>
      </c>
      <c r="F22" s="3228"/>
      <c r="G22" s="3039">
        <f>+' Exhibit I State'!G21</f>
        <v>10.5</v>
      </c>
      <c r="H22" s="3228"/>
      <c r="I22" s="3039">
        <f>+' Exhibit I State'!I21</f>
        <v>11.2</v>
      </c>
      <c r="J22" s="3279"/>
      <c r="K22" s="3039">
        <f>+' Exhibit I State'!K21</f>
        <v>13.3</v>
      </c>
      <c r="L22" s="3280"/>
      <c r="M22" s="3039">
        <f>+' Exhibit I State'!M21</f>
        <v>10.1</v>
      </c>
      <c r="N22" s="3280"/>
      <c r="O22" s="3039">
        <f>+' Exhibit I State'!O21</f>
        <v>12.6</v>
      </c>
      <c r="P22" s="567"/>
      <c r="Q22" s="3308">
        <f>+' Exhibit I State'!Q21</f>
        <v>13.7</v>
      </c>
      <c r="R22" s="567"/>
      <c r="S22" s="567"/>
      <c r="T22" s="567"/>
      <c r="U22" s="567"/>
      <c r="V22" s="567"/>
      <c r="W22" s="567"/>
      <c r="X22" s="567"/>
      <c r="Y22" s="567"/>
      <c r="Z22" s="567"/>
      <c r="AA22" s="567"/>
      <c r="AB22" s="2348"/>
      <c r="AC22" s="567"/>
      <c r="AD22" s="265">
        <f>ROUND(SUM(E22:AA22),1)</f>
        <v>84.3</v>
      </c>
      <c r="AE22" s="2349"/>
      <c r="AF22" s="568"/>
      <c r="AG22" s="597">
        <f>+' Exhibit I State'!AI21</f>
        <v>83.7</v>
      </c>
      <c r="AH22" s="572"/>
      <c r="AI22" s="592"/>
      <c r="AJ22" s="603">
        <f>ROUND(SUM(AD22-AG22),1)</f>
        <v>0.6</v>
      </c>
      <c r="AK22" s="578"/>
      <c r="AL22" s="45">
        <f>ROUND(IF(AG22=0,0,AJ22/(AG22)),3)</f>
        <v>7.0000000000000001E-3</v>
      </c>
      <c r="AM22" s="1046"/>
    </row>
    <row r="23" spans="1:44" ht="15.75">
      <c r="A23" s="227"/>
      <c r="B23" s="594" t="s">
        <v>1689</v>
      </c>
      <c r="C23" s="227"/>
      <c r="D23" s="227"/>
      <c r="E23" s="3281">
        <f>ROUND(SUM(E20:E22),1)</f>
        <v>47.8</v>
      </c>
      <c r="F23" s="3282"/>
      <c r="G23" s="3281">
        <f>ROUND(SUM(G20:G22),1)</f>
        <v>46.7</v>
      </c>
      <c r="H23" s="3282"/>
      <c r="I23" s="3281">
        <f>ROUND(SUM(I20:I22),1)</f>
        <v>56.8</v>
      </c>
      <c r="J23" s="3282"/>
      <c r="K23" s="3281">
        <f>ROUND(SUM(K20:K22),1)</f>
        <v>46.5</v>
      </c>
      <c r="L23" s="3280"/>
      <c r="M23" s="3281">
        <f>ROUND(SUM(M20:M22),1)</f>
        <v>49.9</v>
      </c>
      <c r="N23" s="3280"/>
      <c r="O23" s="3281">
        <f>ROUND(SUM(O20:O22),1)</f>
        <v>68.7</v>
      </c>
      <c r="P23" s="567"/>
      <c r="Q23" s="1327">
        <f>ROUND(SUM(Q20:Q22),1)</f>
        <v>46.2</v>
      </c>
      <c r="R23" s="567"/>
      <c r="S23" s="1327">
        <f>ROUND(SUM(S20:S22),1)</f>
        <v>0</v>
      </c>
      <c r="T23" s="567"/>
      <c r="U23" s="1327">
        <f>ROUND(SUM(U20:U22),1)</f>
        <v>0</v>
      </c>
      <c r="V23" s="567"/>
      <c r="W23" s="1327">
        <f>ROUND(SUM(W20:W22),1)</f>
        <v>0</v>
      </c>
      <c r="X23" s="567"/>
      <c r="Y23" s="1327">
        <f>ROUND(SUM(Y20:Y22),1)</f>
        <v>0</v>
      </c>
      <c r="Z23" s="567"/>
      <c r="AA23" s="1327">
        <f>ROUND(SUM(AA20:AA22),1)</f>
        <v>0</v>
      </c>
      <c r="AB23" s="2348"/>
      <c r="AC23" s="567"/>
      <c r="AD23" s="489">
        <f>ROUND(SUM(AD20:AD22),1)</f>
        <v>362.6</v>
      </c>
      <c r="AE23" s="2349"/>
      <c r="AF23" s="568"/>
      <c r="AG23" s="489">
        <f>ROUND(SUM(AG20:AG22),1)</f>
        <v>352.3</v>
      </c>
      <c r="AH23" s="572"/>
      <c r="AI23" s="592"/>
      <c r="AJ23" s="2515">
        <f>ROUND(SUM(AD23-AG23),1)</f>
        <v>10.3</v>
      </c>
      <c r="AK23" s="588"/>
      <c r="AL23" s="74">
        <f>ROUND(IF(AG23=0,0,AJ23/(AG23)),3)</f>
        <v>2.9000000000000001E-2</v>
      </c>
      <c r="AM23" s="1046"/>
    </row>
    <row r="24" spans="1:44" ht="15.75">
      <c r="A24" s="227"/>
      <c r="B24" s="2346" t="s">
        <v>1570</v>
      </c>
      <c r="C24" s="227"/>
      <c r="D24" s="227"/>
      <c r="E24" s="3283"/>
      <c r="F24" s="3282"/>
      <c r="G24" s="3283"/>
      <c r="H24" s="3282"/>
      <c r="I24" s="3283"/>
      <c r="J24" s="3282"/>
      <c r="K24" s="3283"/>
      <c r="L24" s="3280"/>
      <c r="M24" s="3283"/>
      <c r="N24" s="3280"/>
      <c r="O24" s="3283"/>
      <c r="P24" s="567"/>
      <c r="Q24" s="320"/>
      <c r="R24" s="567"/>
      <c r="S24" s="320"/>
      <c r="T24" s="567"/>
      <c r="U24" s="320"/>
      <c r="V24" s="567"/>
      <c r="W24" s="320"/>
      <c r="X24" s="567"/>
      <c r="Y24" s="320"/>
      <c r="Z24" s="567"/>
      <c r="AA24" s="320"/>
      <c r="AB24" s="2348"/>
      <c r="AC24" s="567"/>
      <c r="AD24" s="277"/>
      <c r="AE24" s="2349"/>
      <c r="AF24" s="568"/>
      <c r="AG24" s="277"/>
      <c r="AH24" s="572"/>
      <c r="AI24" s="592"/>
      <c r="AJ24" s="2352"/>
      <c r="AK24" s="588"/>
      <c r="AL24" s="117"/>
      <c r="AM24" s="1046"/>
    </row>
    <row r="25" spans="1:44" ht="15.75">
      <c r="A25" s="227"/>
      <c r="B25" s="1313" t="s">
        <v>1523</v>
      </c>
      <c r="C25" s="227"/>
      <c r="D25" s="227"/>
      <c r="E25" s="3039">
        <f>+' Exhibit I State'!E24</f>
        <v>0</v>
      </c>
      <c r="F25" s="3282"/>
      <c r="G25" s="3039">
        <f>+' Exhibit I State'!G24</f>
        <v>0</v>
      </c>
      <c r="H25" s="3282"/>
      <c r="I25" s="3039">
        <f>+' Exhibit I State'!I24</f>
        <v>0</v>
      </c>
      <c r="J25" s="3282"/>
      <c r="K25" s="3039">
        <f>+' Exhibit I State'!K24</f>
        <v>0</v>
      </c>
      <c r="L25" s="3280"/>
      <c r="M25" s="3039">
        <f>+' Exhibit I State'!M24</f>
        <v>0</v>
      </c>
      <c r="N25" s="3280"/>
      <c r="O25" s="3039">
        <f>+' Exhibit I State'!O24</f>
        <v>0</v>
      </c>
      <c r="P25" s="567"/>
      <c r="Q25" s="3308">
        <f>+' Exhibit I State'!Q24</f>
        <v>0</v>
      </c>
      <c r="R25" s="567"/>
      <c r="S25" s="567"/>
      <c r="T25" s="567"/>
      <c r="U25" s="567"/>
      <c r="V25" s="567"/>
      <c r="W25" s="567"/>
      <c r="X25" s="567"/>
      <c r="Y25" s="567"/>
      <c r="Z25" s="567"/>
      <c r="AA25" s="567"/>
      <c r="AB25" s="2348"/>
      <c r="AC25" s="567"/>
      <c r="AD25" s="2176">
        <v>0</v>
      </c>
      <c r="AE25" s="2349"/>
      <c r="AF25" s="568"/>
      <c r="AG25" s="597">
        <v>0</v>
      </c>
      <c r="AH25" s="572"/>
      <c r="AI25" s="592"/>
      <c r="AJ25" s="603">
        <f>ROUND(SUM(AD25-AG25),1)</f>
        <v>0</v>
      </c>
      <c r="AK25" s="578"/>
      <c r="AL25" s="3278">
        <f>ROUND(IF(AG25=0,0,AJ25/(AG25)),3)</f>
        <v>0</v>
      </c>
      <c r="AM25" s="1046"/>
      <c r="AN25" s="563"/>
      <c r="AO25" s="563"/>
      <c r="AP25" s="563"/>
      <c r="AQ25" s="563"/>
      <c r="AR25" s="563"/>
    </row>
    <row r="26" spans="1:44" ht="15.75">
      <c r="A26" s="227"/>
      <c r="B26" s="1313" t="s">
        <v>1524</v>
      </c>
      <c r="C26" s="227"/>
      <c r="D26" s="227"/>
      <c r="E26" s="3039">
        <f>+' Exhibit I State'!E25</f>
        <v>0.1</v>
      </c>
      <c r="F26" s="3228"/>
      <c r="G26" s="3039">
        <f>+' Exhibit I State'!G25</f>
        <v>-0.1</v>
      </c>
      <c r="H26" s="3228"/>
      <c r="I26" s="3039">
        <f>+' Exhibit I State'!I25</f>
        <v>2.1</v>
      </c>
      <c r="J26" s="3282"/>
      <c r="K26" s="3039">
        <f>+' Exhibit I State'!K25</f>
        <v>0.1</v>
      </c>
      <c r="L26" s="3280"/>
      <c r="M26" s="3039">
        <f>+' Exhibit I State'!M25</f>
        <v>0</v>
      </c>
      <c r="N26" s="3280"/>
      <c r="O26" s="3039">
        <f>+' Exhibit I State'!O25</f>
        <v>2.4</v>
      </c>
      <c r="P26" s="567"/>
      <c r="Q26" s="3308">
        <f>+' Exhibit I State'!Q25</f>
        <v>0.1</v>
      </c>
      <c r="R26" s="567"/>
      <c r="S26" s="567"/>
      <c r="T26" s="567"/>
      <c r="U26" s="567"/>
      <c r="V26" s="567"/>
      <c r="W26" s="567"/>
      <c r="X26" s="567"/>
      <c r="Y26" s="567"/>
      <c r="Z26" s="567"/>
      <c r="AA26" s="567"/>
      <c r="AB26" s="2348"/>
      <c r="AC26" s="567"/>
      <c r="AD26" s="265">
        <f>ROUND(SUM(E26:AA26),1)</f>
        <v>4.7</v>
      </c>
      <c r="AE26" s="2349"/>
      <c r="AF26" s="568"/>
      <c r="AG26" s="597">
        <f>+' Exhibit I State'!AI25</f>
        <v>3.7</v>
      </c>
      <c r="AH26" s="572"/>
      <c r="AI26" s="592"/>
      <c r="AJ26" s="603">
        <f>ROUND(SUM(AD26-AG26),1)</f>
        <v>1</v>
      </c>
      <c r="AK26" s="578"/>
      <c r="AL26" s="3234">
        <f>ROUND(IF(AG26=0,0,AJ26/(AG26)),3)</f>
        <v>0.27</v>
      </c>
      <c r="AM26" s="1046"/>
      <c r="AN26" s="563"/>
      <c r="AO26" s="563"/>
      <c r="AP26" s="563"/>
      <c r="AQ26" s="563"/>
      <c r="AR26" s="563"/>
    </row>
    <row r="27" spans="1:44" ht="15.75">
      <c r="A27" s="227"/>
      <c r="B27" s="1313" t="s">
        <v>1527</v>
      </c>
      <c r="C27" s="227"/>
      <c r="D27" s="227"/>
      <c r="E27" s="3039">
        <f>+' Exhibit I State'!E26</f>
        <v>54.7</v>
      </c>
      <c r="F27" s="3228"/>
      <c r="G27" s="3039">
        <f>+' Exhibit I State'!G26</f>
        <v>51.4</v>
      </c>
      <c r="H27" s="3228"/>
      <c r="I27" s="3039">
        <f>+' Exhibit I State'!I26</f>
        <v>60.7</v>
      </c>
      <c r="J27" s="3282"/>
      <c r="K27" s="3039">
        <f>+' Exhibit I State'!K26</f>
        <v>52.6</v>
      </c>
      <c r="L27" s="3280"/>
      <c r="M27" s="3039">
        <f>+' Exhibit I State'!M26</f>
        <v>63.2</v>
      </c>
      <c r="N27" s="3280"/>
      <c r="O27" s="3039">
        <f>+' Exhibit I State'!O26</f>
        <v>57.8</v>
      </c>
      <c r="P27" s="567"/>
      <c r="Q27" s="3308">
        <f>+' Exhibit I State'!Q26</f>
        <v>52.9</v>
      </c>
      <c r="R27" s="567"/>
      <c r="S27" s="567"/>
      <c r="T27" s="567"/>
      <c r="U27" s="567"/>
      <c r="V27" s="567"/>
      <c r="W27" s="567"/>
      <c r="X27" s="567"/>
      <c r="Y27" s="567"/>
      <c r="Z27" s="567"/>
      <c r="AA27" s="567"/>
      <c r="AB27" s="2348"/>
      <c r="AC27" s="567"/>
      <c r="AD27" s="265">
        <f>ROUND(SUM(E27:AA27),1)</f>
        <v>393.3</v>
      </c>
      <c r="AE27" s="2349"/>
      <c r="AF27" s="568"/>
      <c r="AG27" s="597">
        <f>+' Exhibit I State'!AI26</f>
        <v>386.5</v>
      </c>
      <c r="AH27" s="572"/>
      <c r="AI27" s="592"/>
      <c r="AJ27" s="603">
        <f>ROUND(SUM(AD27-AG27),1)</f>
        <v>6.8</v>
      </c>
      <c r="AK27" s="578"/>
      <c r="AL27" s="3234">
        <f>ROUND(IF(AG27=0,0,AJ27/(AG27)),3)</f>
        <v>1.7999999999999999E-2</v>
      </c>
      <c r="AM27" s="1046"/>
      <c r="AN27" s="563"/>
      <c r="AO27" s="563"/>
      <c r="AP27" s="563"/>
      <c r="AQ27" s="563"/>
      <c r="AR27" s="563"/>
    </row>
    <row r="28" spans="1:44" ht="15.75">
      <c r="A28" s="227"/>
      <c r="B28" s="594" t="s">
        <v>1690</v>
      </c>
      <c r="C28" s="227"/>
      <c r="D28" s="227"/>
      <c r="E28" s="3281">
        <f>ROUND(SUM(E25:E27),1)</f>
        <v>54.8</v>
      </c>
      <c r="F28" s="3228"/>
      <c r="G28" s="3281">
        <f>ROUND(SUM(G25:G27),1)</f>
        <v>51.3</v>
      </c>
      <c r="H28" s="3228"/>
      <c r="I28" s="3281">
        <f>ROUND(SUM(I25:I27),1)</f>
        <v>62.8</v>
      </c>
      <c r="J28" s="3282"/>
      <c r="K28" s="3281">
        <f>ROUND(SUM(K25:K27),1)</f>
        <v>52.7</v>
      </c>
      <c r="L28" s="3280"/>
      <c r="M28" s="3281">
        <f>ROUND(SUM(M25:M27),1)</f>
        <v>63.2</v>
      </c>
      <c r="N28" s="3280"/>
      <c r="O28" s="3281">
        <f>ROUND(SUM(O25:O27),1)</f>
        <v>60.2</v>
      </c>
      <c r="P28" s="567"/>
      <c r="Q28" s="1327">
        <f>ROUND(SUM(Q25:Q27),1)</f>
        <v>53</v>
      </c>
      <c r="R28" s="567"/>
      <c r="S28" s="1327">
        <f>ROUND(SUM(S25:S27),1)</f>
        <v>0</v>
      </c>
      <c r="T28" s="567"/>
      <c r="U28" s="1327">
        <f>ROUND(SUM(U25:U27),1)</f>
        <v>0</v>
      </c>
      <c r="V28" s="567"/>
      <c r="W28" s="1327">
        <f>ROUND(SUM(W25:W27),1)</f>
        <v>0</v>
      </c>
      <c r="X28" s="567"/>
      <c r="Y28" s="1327">
        <f>ROUND(SUM(Y25:Y27),1)</f>
        <v>0</v>
      </c>
      <c r="Z28" s="567"/>
      <c r="AA28" s="1327">
        <f>ROUND(SUM(AA25:AA27),1)</f>
        <v>0</v>
      </c>
      <c r="AB28" s="2348"/>
      <c r="AC28" s="567"/>
      <c r="AD28" s="1327">
        <f>ROUND(SUM(AD25:AD27),1)</f>
        <v>398</v>
      </c>
      <c r="AE28" s="2349"/>
      <c r="AF28" s="568"/>
      <c r="AG28" s="1327">
        <f>ROUND(SUM(AG25:AG27),1)</f>
        <v>390.2</v>
      </c>
      <c r="AH28" s="572"/>
      <c r="AI28" s="592"/>
      <c r="AJ28" s="1327">
        <f>ROUND(SUM(AJ25:AJ27),1)</f>
        <v>7.8</v>
      </c>
      <c r="AK28" s="578"/>
      <c r="AL28" s="3275">
        <f>ROUND(IF(AG28=0,0,AJ28/(AG28)),3)</f>
        <v>0.02</v>
      </c>
      <c r="AM28" s="1046"/>
      <c r="AN28" s="563"/>
      <c r="AO28" s="563"/>
      <c r="AP28" s="563"/>
      <c r="AQ28" s="563"/>
      <c r="AR28" s="563"/>
    </row>
    <row r="29" spans="1:44" ht="15.75">
      <c r="A29" s="227"/>
      <c r="B29" s="2346" t="s">
        <v>1571</v>
      </c>
      <c r="C29" s="227"/>
      <c r="D29" s="227"/>
      <c r="E29" s="3284"/>
      <c r="F29" s="3284"/>
      <c r="G29" s="3284"/>
      <c r="H29" s="3284"/>
      <c r="I29" s="3284"/>
      <c r="J29" s="3284"/>
      <c r="K29" s="3284"/>
      <c r="L29" s="3284"/>
      <c r="M29" s="3284"/>
      <c r="N29" s="3284"/>
      <c r="O29" s="3284"/>
      <c r="P29" s="372"/>
      <c r="Q29" s="372"/>
      <c r="R29" s="372"/>
      <c r="S29" s="372"/>
      <c r="T29" s="372"/>
      <c r="U29" s="372"/>
      <c r="V29" s="372"/>
      <c r="W29" s="372"/>
      <c r="X29" s="372"/>
      <c r="Y29" s="372"/>
      <c r="Z29" s="372"/>
      <c r="AA29" s="372"/>
      <c r="AB29" s="372"/>
      <c r="AC29" s="478"/>
      <c r="AD29" s="372"/>
      <c r="AE29" s="2367"/>
      <c r="AF29" s="257"/>
      <c r="AG29" s="372"/>
      <c r="AH29" s="372"/>
      <c r="AI29" s="661"/>
      <c r="AJ29" s="662"/>
      <c r="AK29" s="662"/>
      <c r="AL29" s="3285"/>
    </row>
    <row r="30" spans="1:44" ht="15.75">
      <c r="A30" s="227"/>
      <c r="B30" s="1313" t="s">
        <v>1533</v>
      </c>
      <c r="C30" s="227"/>
      <c r="D30" s="227"/>
      <c r="E30" s="3039">
        <f>+' Exhibit I State'!E29</f>
        <v>0</v>
      </c>
      <c r="F30" s="3228"/>
      <c r="G30" s="3039">
        <f>+' Exhibit I State'!G29</f>
        <v>0</v>
      </c>
      <c r="H30" s="3228"/>
      <c r="I30" s="3050">
        <f>+' Exhibit I State'!I29</f>
        <v>11.9</v>
      </c>
      <c r="J30" s="3282"/>
      <c r="K30" s="3039">
        <f>+' Exhibit I State'!K29</f>
        <v>11.9</v>
      </c>
      <c r="L30" s="3280"/>
      <c r="M30" s="3039">
        <f>+' Exhibit I State'!M29</f>
        <v>11.9</v>
      </c>
      <c r="N30" s="3280"/>
      <c r="O30" s="3039">
        <f>+' Exhibit I State'!O29</f>
        <v>11.9</v>
      </c>
      <c r="P30" s="567"/>
      <c r="Q30" s="3308">
        <f>+' Exhibit I State'!Q29</f>
        <v>12</v>
      </c>
      <c r="R30" s="567"/>
      <c r="S30" s="567"/>
      <c r="T30" s="567"/>
      <c r="U30" s="567"/>
      <c r="V30" s="567"/>
      <c r="W30" s="567"/>
      <c r="X30" s="567"/>
      <c r="Y30" s="567"/>
      <c r="Z30" s="567"/>
      <c r="AA30" s="567"/>
      <c r="AB30" s="2348"/>
      <c r="AC30" s="567"/>
      <c r="AD30" s="265">
        <f>ROUND(SUM(E30:AA30),1)</f>
        <v>59.6</v>
      </c>
      <c r="AE30" s="2349"/>
      <c r="AF30" s="568"/>
      <c r="AG30" s="597">
        <f>+' Exhibit I State'!AI29</f>
        <v>59.6</v>
      </c>
      <c r="AH30" s="572"/>
      <c r="AI30" s="592"/>
      <c r="AJ30" s="603">
        <f>ROUND(SUM(AD30-AG30),1)</f>
        <v>0</v>
      </c>
      <c r="AK30" s="578"/>
      <c r="AL30" s="3234">
        <f>ROUND(IF(AG30=0,0,AJ30/(AG30)),3)</f>
        <v>0</v>
      </c>
      <c r="AM30" s="1046"/>
      <c r="AN30" s="563"/>
      <c r="AO30" s="563"/>
      <c r="AP30" s="563"/>
    </row>
    <row r="31" spans="1:44" ht="15.75">
      <c r="A31" s="227"/>
      <c r="B31" s="594" t="s">
        <v>1691</v>
      </c>
      <c r="C31" s="227"/>
      <c r="D31" s="227"/>
      <c r="E31" s="260">
        <f>ROUND(SUM(E30:E30),1)</f>
        <v>0</v>
      </c>
      <c r="F31" s="2154"/>
      <c r="G31" s="260">
        <f>ROUND(SUM(G30:G30),1)</f>
        <v>0</v>
      </c>
      <c r="H31" s="2154"/>
      <c r="I31" s="260">
        <f>ROUND(SUM(I30:I30),1)</f>
        <v>11.9</v>
      </c>
      <c r="J31" s="2154"/>
      <c r="K31" s="260">
        <f>ROUND(SUM(K30:K30),1)</f>
        <v>11.9</v>
      </c>
      <c r="L31" s="567"/>
      <c r="M31" s="260">
        <f>ROUND(SUM(M30:M30),1)</f>
        <v>11.9</v>
      </c>
      <c r="N31" s="567"/>
      <c r="O31" s="260">
        <f>ROUND(SUM(O30:O30),1)</f>
        <v>11.9</v>
      </c>
      <c r="P31" s="567"/>
      <c r="Q31" s="260">
        <f>ROUND(SUM(Q30:Q30),1)</f>
        <v>12</v>
      </c>
      <c r="R31" s="567"/>
      <c r="S31" s="260">
        <f>ROUND(SUM(S30:S30),1)</f>
        <v>0</v>
      </c>
      <c r="T31" s="567"/>
      <c r="U31" s="260">
        <f>ROUND(SUM(U30:U30),1)</f>
        <v>0</v>
      </c>
      <c r="V31" s="567"/>
      <c r="W31" s="260">
        <f>ROUND(SUM(W30:W30),1)</f>
        <v>0</v>
      </c>
      <c r="X31" s="567"/>
      <c r="Y31" s="260">
        <f>ROUND(SUM(Y30:Y30),1)</f>
        <v>0</v>
      </c>
      <c r="Z31" s="567"/>
      <c r="AA31" s="260">
        <f>ROUND(SUM(AA30:AA30),1)</f>
        <v>0</v>
      </c>
      <c r="AB31" s="2348"/>
      <c r="AC31" s="567"/>
      <c r="AD31" s="260">
        <f>ROUND(SUM(AD30:AD30),1)</f>
        <v>59.6</v>
      </c>
      <c r="AE31" s="2349"/>
      <c r="AF31" s="568"/>
      <c r="AG31" s="260">
        <f>ROUND(SUM(AG30:AG30),1)</f>
        <v>59.6</v>
      </c>
      <c r="AH31" s="572"/>
      <c r="AI31" s="592"/>
      <c r="AJ31" s="2515">
        <f>ROUND(SUM(AD31-AG31),1)</f>
        <v>0</v>
      </c>
      <c r="AK31" s="588"/>
      <c r="AL31" s="3253">
        <f>ROUND(IF(AG31=0,0,AJ31/(AG31)),3)</f>
        <v>0</v>
      </c>
      <c r="AM31" s="1046"/>
      <c r="AN31" s="563"/>
      <c r="AO31" s="563"/>
      <c r="AP31" s="563"/>
    </row>
    <row r="32" spans="1:44" ht="15.75">
      <c r="A32" s="227"/>
      <c r="B32" s="594"/>
      <c r="C32" s="227"/>
      <c r="D32" s="227"/>
      <c r="E32" s="489"/>
      <c r="F32" s="2154"/>
      <c r="G32" s="489"/>
      <c r="H32" s="2154"/>
      <c r="I32" s="489"/>
      <c r="J32" s="2154"/>
      <c r="K32" s="1327"/>
      <c r="L32" s="567"/>
      <c r="M32" s="1327"/>
      <c r="N32" s="567"/>
      <c r="O32" s="1327"/>
      <c r="P32" s="567"/>
      <c r="Q32" s="1327"/>
      <c r="R32" s="567"/>
      <c r="S32" s="1327"/>
      <c r="T32" s="567"/>
      <c r="U32" s="1327"/>
      <c r="V32" s="567"/>
      <c r="W32" s="1327"/>
      <c r="X32" s="567"/>
      <c r="Y32" s="1327"/>
      <c r="Z32" s="567"/>
      <c r="AA32" s="1327"/>
      <c r="AB32" s="2348"/>
      <c r="AC32" s="567"/>
      <c r="AD32" s="489"/>
      <c r="AE32" s="2349"/>
      <c r="AF32" s="568"/>
      <c r="AG32" s="568"/>
      <c r="AH32" s="572"/>
      <c r="AI32" s="592"/>
      <c r="AJ32" s="593"/>
      <c r="AK32" s="578"/>
      <c r="AL32" s="3274"/>
      <c r="AM32" s="1046"/>
      <c r="AN32" s="563"/>
      <c r="AO32" s="563"/>
      <c r="AP32" s="563"/>
    </row>
    <row r="33" spans="1:42" ht="15.75">
      <c r="A33" s="227"/>
      <c r="B33" s="594" t="s">
        <v>1529</v>
      </c>
      <c r="C33" s="227"/>
      <c r="D33" s="227"/>
      <c r="E33" s="2350">
        <f>ROUND(SUM(E11+E28+E23+E31),1)</f>
        <v>102.6</v>
      </c>
      <c r="F33" s="265"/>
      <c r="G33" s="2350">
        <f>ROUND(SUM(G11+G28+G23+G31),1)</f>
        <v>98</v>
      </c>
      <c r="H33" s="265"/>
      <c r="I33" s="2350">
        <f>ROUND(SUM(I11+I28+I23+I31),1)</f>
        <v>131.5</v>
      </c>
      <c r="J33" s="265"/>
      <c r="K33" s="2350">
        <f>ROUND(SUM(K11+K28+K23+K31),1)</f>
        <v>111.1</v>
      </c>
      <c r="L33" s="567"/>
      <c r="M33" s="2350">
        <f>ROUND(SUM(M11+M28+M23+M31),1)</f>
        <v>125</v>
      </c>
      <c r="N33" s="567"/>
      <c r="O33" s="2350">
        <f>ROUND(SUM(O11+O28+O23+O31),1)</f>
        <v>140.80000000000001</v>
      </c>
      <c r="P33" s="567"/>
      <c r="Q33" s="2350">
        <f>ROUND(SUM(Q11+Q28+Q23+Q31),1)</f>
        <v>111.2</v>
      </c>
      <c r="R33" s="567"/>
      <c r="S33" s="2350">
        <f>ROUND(SUM(S11+S28+S23+S31),1)</f>
        <v>0</v>
      </c>
      <c r="T33" s="567"/>
      <c r="U33" s="2350">
        <f>ROUND(SUM(U11+U28+U23+U31),1)</f>
        <v>0</v>
      </c>
      <c r="V33" s="567"/>
      <c r="W33" s="2350">
        <f>ROUND(SUM(W11+W28+W23+W31),1)</f>
        <v>0</v>
      </c>
      <c r="X33" s="567"/>
      <c r="Y33" s="2350">
        <f>ROUND(SUM(Y11+Y28+Y23+Y31),1)</f>
        <v>0</v>
      </c>
      <c r="Z33" s="567"/>
      <c r="AA33" s="2350">
        <f>ROUND(SUM(AA11+AA28+AA23+AA31),1)</f>
        <v>0</v>
      </c>
      <c r="AB33" s="2348"/>
      <c r="AC33" s="567"/>
      <c r="AD33" s="2350">
        <f>ROUND(SUM(AD11+AD28+AD23+AD31),1)</f>
        <v>820.2</v>
      </c>
      <c r="AE33" s="2349"/>
      <c r="AF33" s="568"/>
      <c r="AG33" s="2350">
        <f>ROUND(SUM(AG11+AG28+AG23+AG31),1)</f>
        <v>802.1</v>
      </c>
      <c r="AH33" s="572"/>
      <c r="AI33" s="592"/>
      <c r="AJ33" s="2515">
        <f>ROUND(SUM(AD33-AG33),1)</f>
        <v>18.100000000000001</v>
      </c>
      <c r="AK33" s="588"/>
      <c r="AL33" s="3253">
        <f>ROUND(IF(AG33=0,0,AJ33/(AG33)),3)</f>
        <v>2.3E-2</v>
      </c>
      <c r="AM33" s="1046"/>
      <c r="AN33" s="563"/>
      <c r="AO33" s="563"/>
      <c r="AP33" s="563"/>
    </row>
    <row r="34" spans="1:42" ht="15.75">
      <c r="A34" s="227"/>
      <c r="B34" s="594"/>
      <c r="C34" s="227"/>
      <c r="D34" s="227"/>
      <c r="E34" s="2353"/>
      <c r="F34" s="265"/>
      <c r="G34" s="2353"/>
      <c r="H34" s="265"/>
      <c r="I34" s="2353"/>
      <c r="J34" s="265"/>
      <c r="K34" s="2353"/>
      <c r="L34" s="567"/>
      <c r="M34" s="2353"/>
      <c r="N34" s="567"/>
      <c r="O34" s="2353"/>
      <c r="P34" s="567"/>
      <c r="Q34" s="2353"/>
      <c r="R34" s="567"/>
      <c r="S34" s="2353"/>
      <c r="T34" s="567"/>
      <c r="U34" s="2353"/>
      <c r="V34" s="567"/>
      <c r="W34" s="2353"/>
      <c r="X34" s="567"/>
      <c r="Y34" s="2353"/>
      <c r="Z34" s="567"/>
      <c r="AA34" s="2353"/>
      <c r="AB34" s="3098"/>
      <c r="AC34" s="567"/>
      <c r="AD34" s="2353"/>
      <c r="AE34" s="2349"/>
      <c r="AF34" s="568"/>
      <c r="AG34" s="2353"/>
      <c r="AH34" s="572"/>
      <c r="AI34" s="592"/>
      <c r="AJ34" s="2352"/>
      <c r="AK34" s="588"/>
      <c r="AL34" s="3239"/>
      <c r="AM34" s="1046"/>
      <c r="AN34" s="563"/>
      <c r="AO34" s="563"/>
      <c r="AP34" s="563"/>
    </row>
    <row r="35" spans="1:42" ht="15.75">
      <c r="A35" s="227"/>
      <c r="B35" s="495" t="s">
        <v>1428</v>
      </c>
      <c r="C35" s="227"/>
      <c r="D35" s="227"/>
      <c r="E35" s="377"/>
      <c r="F35" s="265"/>
      <c r="G35" s="522"/>
      <c r="H35" s="265"/>
      <c r="I35" s="522"/>
      <c r="J35" s="265"/>
      <c r="K35" s="522"/>
      <c r="L35" s="265"/>
      <c r="M35" s="522"/>
      <c r="N35" s="265"/>
      <c r="O35" s="522"/>
      <c r="P35" s="265"/>
      <c r="Q35" s="522"/>
      <c r="R35" s="265"/>
      <c r="S35" s="522"/>
      <c r="T35" s="265"/>
      <c r="U35" s="522"/>
      <c r="V35" s="265"/>
      <c r="X35" s="265"/>
      <c r="Y35" s="522"/>
      <c r="Z35" s="265"/>
      <c r="AA35" s="522"/>
      <c r="AB35" s="265"/>
      <c r="AC35" s="254"/>
      <c r="AD35" s="522"/>
      <c r="AE35" s="2251"/>
      <c r="AF35" s="259"/>
      <c r="AG35" s="668"/>
      <c r="AH35" s="278"/>
      <c r="AI35" s="671"/>
      <c r="AJ35" s="255"/>
      <c r="AK35" s="669"/>
      <c r="AL35" s="3234"/>
      <c r="AM35" s="662"/>
    </row>
    <row r="36" spans="1:42" ht="15.75">
      <c r="A36" s="227"/>
      <c r="B36" s="1979" t="s">
        <v>1561</v>
      </c>
      <c r="C36" s="227"/>
      <c r="D36" s="227"/>
      <c r="E36" s="377"/>
      <c r="F36" s="265"/>
      <c r="G36" s="522"/>
      <c r="H36" s="265"/>
      <c r="I36" s="522"/>
      <c r="J36" s="265"/>
      <c r="K36" s="522"/>
      <c r="L36" s="265"/>
      <c r="M36" s="522"/>
      <c r="N36" s="265"/>
      <c r="O36" s="522"/>
      <c r="P36" s="265"/>
      <c r="Q36" s="522"/>
      <c r="R36" s="265"/>
      <c r="S36" s="522"/>
      <c r="T36" s="265"/>
      <c r="U36" s="522"/>
      <c r="V36" s="265"/>
      <c r="X36" s="265"/>
      <c r="Y36" s="522"/>
      <c r="Z36" s="265"/>
      <c r="AA36" s="522"/>
      <c r="AB36" s="265"/>
      <c r="AC36" s="254"/>
      <c r="AD36" s="522"/>
      <c r="AE36" s="2251"/>
      <c r="AF36" s="259"/>
      <c r="AG36" s="668"/>
      <c r="AH36" s="278"/>
      <c r="AI36" s="671"/>
      <c r="AJ36" s="255"/>
      <c r="AK36" s="669"/>
      <c r="AL36" s="3234"/>
      <c r="AM36" s="662"/>
    </row>
    <row r="37" spans="1:42" ht="15.75">
      <c r="A37" s="227"/>
      <c r="B37" s="1979" t="s">
        <v>1462</v>
      </c>
      <c r="C37" s="227"/>
      <c r="D37" s="227"/>
      <c r="E37" s="377">
        <f>+' Exhibit I State'!E36+'Exhibit I Federal'!E18</f>
        <v>0</v>
      </c>
      <c r="F37" s="265"/>
      <c r="G37" s="377">
        <f>+' Exhibit I State'!G36+'Exhibit I Federal'!G18</f>
        <v>0</v>
      </c>
      <c r="H37" s="265"/>
      <c r="I37" s="377">
        <f>+' Exhibit I State'!I36+'Exhibit I Federal'!I18</f>
        <v>15</v>
      </c>
      <c r="J37" s="265"/>
      <c r="K37" s="377">
        <f>+' Exhibit I State'!K36+'Exhibit I Federal'!K18</f>
        <v>8</v>
      </c>
      <c r="L37" s="265"/>
      <c r="M37" s="377">
        <f>+' Exhibit I State'!M36+'Exhibit I Federal'!M18</f>
        <v>0</v>
      </c>
      <c r="N37" s="265"/>
      <c r="O37" s="377">
        <f>+' Exhibit I State'!O36+'Exhibit I Federal'!O18</f>
        <v>0</v>
      </c>
      <c r="P37" s="265"/>
      <c r="Q37" s="377">
        <f>+' Exhibit I State'!Q36+'Exhibit I Federal'!Q18</f>
        <v>0</v>
      </c>
      <c r="R37" s="265"/>
      <c r="S37" s="522"/>
      <c r="T37" s="265"/>
      <c r="U37" s="522"/>
      <c r="V37" s="265"/>
      <c r="X37" s="265"/>
      <c r="Y37" s="522"/>
      <c r="Z37" s="265"/>
      <c r="AA37" s="522"/>
      <c r="AB37" s="265"/>
      <c r="AC37" s="254"/>
      <c r="AD37" s="522">
        <f t="shared" ref="AD37:AD56" si="0">ROUND(SUM(E37:AA37),1)</f>
        <v>23</v>
      </c>
      <c r="AE37" s="2251"/>
      <c r="AF37" s="259"/>
      <c r="AG37" s="668">
        <f>+' Exhibit I State'!AI36</f>
        <v>15</v>
      </c>
      <c r="AH37" s="278"/>
      <c r="AI37" s="671"/>
      <c r="AJ37" s="255">
        <f t="shared" ref="AJ37:AJ56" si="1">ROUND(SUM(+AD37-AG37),1)</f>
        <v>8</v>
      </c>
      <c r="AK37" s="669"/>
      <c r="AL37" s="3234">
        <f>ROUND(IF(AG37=0,0,AJ37/(AG37)),3)</f>
        <v>0.53300000000000003</v>
      </c>
      <c r="AM37" s="662"/>
    </row>
    <row r="38" spans="1:42" ht="15.75">
      <c r="A38" s="227"/>
      <c r="B38" s="1979" t="s">
        <v>1562</v>
      </c>
      <c r="C38" s="227"/>
      <c r="D38" s="227"/>
      <c r="E38" s="377"/>
      <c r="F38" s="265"/>
      <c r="G38" s="377"/>
      <c r="H38" s="265"/>
      <c r="I38" s="377"/>
      <c r="J38" s="265"/>
      <c r="K38" s="377"/>
      <c r="L38" s="265"/>
      <c r="M38" s="377"/>
      <c r="N38" s="265"/>
      <c r="O38" s="377"/>
      <c r="P38" s="265"/>
      <c r="Q38" s="377"/>
      <c r="R38" s="265"/>
      <c r="S38" s="522"/>
      <c r="T38" s="265"/>
      <c r="U38" s="522"/>
      <c r="V38" s="265"/>
      <c r="X38" s="265"/>
      <c r="Y38" s="522"/>
      <c r="Z38" s="265"/>
      <c r="AA38" s="522"/>
      <c r="AB38" s="265"/>
      <c r="AC38" s="254"/>
      <c r="AD38" s="522"/>
      <c r="AE38" s="2251"/>
      <c r="AF38" s="259"/>
      <c r="AG38" s="668"/>
      <c r="AH38" s="278"/>
      <c r="AI38" s="671"/>
      <c r="AJ38" s="255"/>
      <c r="AK38" s="669"/>
      <c r="AL38" s="3234"/>
      <c r="AM38" s="662"/>
    </row>
    <row r="39" spans="1:42" ht="15.75">
      <c r="A39" s="227"/>
      <c r="B39" s="1979" t="s">
        <v>1463</v>
      </c>
      <c r="C39" s="227"/>
      <c r="D39" s="227"/>
      <c r="E39" s="377">
        <f>+' Exhibit I State'!E38+'Exhibit I Federal'!E20</f>
        <v>8.8000000000000007</v>
      </c>
      <c r="F39" s="265"/>
      <c r="G39" s="377">
        <f>+' Exhibit I State'!G38+'Exhibit I Federal'!G20</f>
        <v>8.3000000000000007</v>
      </c>
      <c r="H39" s="265"/>
      <c r="I39" s="377">
        <f>+' Exhibit I State'!I38+'Exhibit I Federal'!I20</f>
        <v>8</v>
      </c>
      <c r="J39" s="265"/>
      <c r="K39" s="377">
        <f>+' Exhibit I State'!K38+'Exhibit I Federal'!K20</f>
        <v>7.7999999999999972</v>
      </c>
      <c r="L39" s="265"/>
      <c r="M39" s="377">
        <f>+' Exhibit I State'!M38+'Exhibit I Federal'!M20</f>
        <v>8</v>
      </c>
      <c r="N39" s="265"/>
      <c r="O39" s="377">
        <f>+' Exhibit I State'!O38+'Exhibit I Federal'!O20</f>
        <v>8.1</v>
      </c>
      <c r="P39" s="265"/>
      <c r="Q39" s="377">
        <f>+' Exhibit I State'!Q38+'Exhibit I Federal'!Q20</f>
        <v>7.2</v>
      </c>
      <c r="R39" s="265"/>
      <c r="S39" s="522"/>
      <c r="T39" s="265"/>
      <c r="U39" s="522"/>
      <c r="V39" s="265"/>
      <c r="X39" s="265"/>
      <c r="Y39" s="522"/>
      <c r="Z39" s="265"/>
      <c r="AA39" s="522"/>
      <c r="AB39" s="265"/>
      <c r="AC39" s="254"/>
      <c r="AD39" s="522">
        <f t="shared" si="0"/>
        <v>56.2</v>
      </c>
      <c r="AE39" s="2251"/>
      <c r="AF39" s="259"/>
      <c r="AG39" s="668">
        <f>+' Exhibit I State'!AI38</f>
        <v>17.3</v>
      </c>
      <c r="AH39" s="278"/>
      <c r="AI39" s="671"/>
      <c r="AJ39" s="255">
        <f t="shared" si="1"/>
        <v>38.9</v>
      </c>
      <c r="AK39" s="669"/>
      <c r="AL39" s="3234">
        <f>ROUND(IF(AG39=0,0,AJ39/(AG39)),3)</f>
        <v>2.2490000000000001</v>
      </c>
      <c r="AM39" s="662"/>
    </row>
    <row r="40" spans="1:42" ht="15.75">
      <c r="A40" s="227"/>
      <c r="B40" s="1979" t="s">
        <v>1567</v>
      </c>
      <c r="C40" s="227"/>
      <c r="D40" s="227"/>
      <c r="E40" s="377"/>
      <c r="F40" s="265"/>
      <c r="G40" s="377"/>
      <c r="H40" s="265"/>
      <c r="I40" s="377"/>
      <c r="J40" s="265"/>
      <c r="K40" s="377"/>
      <c r="L40" s="265"/>
      <c r="M40" s="377"/>
      <c r="N40" s="265"/>
      <c r="O40" s="377"/>
      <c r="P40" s="265"/>
      <c r="Q40" s="377"/>
      <c r="R40" s="265"/>
      <c r="S40" s="522"/>
      <c r="T40" s="265"/>
      <c r="U40" s="522"/>
      <c r="V40" s="265"/>
      <c r="X40" s="265"/>
      <c r="Y40" s="522"/>
      <c r="Z40" s="265"/>
      <c r="AA40" s="522"/>
      <c r="AB40" s="265"/>
      <c r="AC40" s="254"/>
      <c r="AD40" s="522"/>
      <c r="AE40" s="2251"/>
      <c r="AF40" s="259"/>
      <c r="AG40" s="668"/>
      <c r="AH40" s="278"/>
      <c r="AI40" s="671"/>
      <c r="AJ40" s="255"/>
      <c r="AK40" s="669"/>
      <c r="AL40" s="3234"/>
      <c r="AM40" s="662"/>
    </row>
    <row r="41" spans="1:42" ht="15.75">
      <c r="A41" s="227"/>
      <c r="B41" s="1979" t="s">
        <v>1467</v>
      </c>
      <c r="C41" s="227"/>
      <c r="D41" s="227"/>
      <c r="E41" s="377">
        <f>+' Exhibit I State'!E40+'Exhibit I Federal'!E22</f>
        <v>2.2999999999999998</v>
      </c>
      <c r="F41" s="265"/>
      <c r="G41" s="377">
        <f>+' Exhibit I State'!G40+'Exhibit I Federal'!G22</f>
        <v>7.3999999999999995</v>
      </c>
      <c r="H41" s="265"/>
      <c r="I41" s="377">
        <f>+' Exhibit I State'!I40+'Exhibit I Federal'!I22</f>
        <v>6.9000000000000021</v>
      </c>
      <c r="J41" s="265"/>
      <c r="K41" s="377">
        <f>+' Exhibit I State'!K40+'Exhibit I Federal'!K22</f>
        <v>3.5999999999999979</v>
      </c>
      <c r="L41" s="265"/>
      <c r="M41" s="377">
        <f>+' Exhibit I State'!M40+'Exhibit I Federal'!M22</f>
        <v>5.8</v>
      </c>
      <c r="N41" s="265"/>
      <c r="O41" s="377">
        <f>+' Exhibit I State'!O40+'Exhibit I Federal'!O22</f>
        <v>4.9000000000000004</v>
      </c>
      <c r="P41" s="265"/>
      <c r="Q41" s="377">
        <f>+' Exhibit I State'!Q40+'Exhibit I Federal'!Q22</f>
        <v>3.8</v>
      </c>
      <c r="R41" s="265"/>
      <c r="S41" s="522"/>
      <c r="T41" s="265"/>
      <c r="U41" s="522"/>
      <c r="V41" s="265"/>
      <c r="X41" s="265"/>
      <c r="Y41" s="522"/>
      <c r="Z41" s="265"/>
      <c r="AA41" s="522"/>
      <c r="AB41" s="265"/>
      <c r="AC41" s="254"/>
      <c r="AD41" s="522">
        <f t="shared" si="0"/>
        <v>34.700000000000003</v>
      </c>
      <c r="AE41" s="2251"/>
      <c r="AF41" s="259"/>
      <c r="AG41" s="668">
        <f>+' Exhibit I State'!AI40</f>
        <v>27.5</v>
      </c>
      <c r="AH41" s="278"/>
      <c r="AI41" s="671"/>
      <c r="AJ41" s="255">
        <f t="shared" si="1"/>
        <v>7.2</v>
      </c>
      <c r="AK41" s="669"/>
      <c r="AL41" s="3234">
        <f>ROUND(IF(AG41=0,0,AJ41/(AG41)),3)</f>
        <v>0.26200000000000001</v>
      </c>
      <c r="AM41" s="662"/>
    </row>
    <row r="42" spans="1:42" ht="15.75">
      <c r="A42" s="227"/>
      <c r="B42" s="1979" t="s">
        <v>1470</v>
      </c>
      <c r="C42" s="227"/>
      <c r="D42" s="227"/>
      <c r="E42" s="377">
        <f>+' Exhibit I State'!E41+'Exhibit I Federal'!E23</f>
        <v>55.1</v>
      </c>
      <c r="F42" s="265"/>
      <c r="G42" s="377">
        <f>+' Exhibit I State'!G41+'Exhibit I Federal'!G23</f>
        <v>61.699999999999996</v>
      </c>
      <c r="H42" s="265"/>
      <c r="I42" s="377">
        <f>+' Exhibit I State'!I41+'Exhibit I Federal'!I23</f>
        <v>63.000000000000014</v>
      </c>
      <c r="J42" s="265"/>
      <c r="K42" s="377">
        <f>+' Exhibit I State'!K41+'Exhibit I Federal'!K23</f>
        <v>55.199999999999989</v>
      </c>
      <c r="L42" s="265"/>
      <c r="M42" s="377">
        <f>+' Exhibit I State'!M41+'Exhibit I Federal'!M23</f>
        <v>54.199999999999989</v>
      </c>
      <c r="N42" s="265"/>
      <c r="O42" s="377">
        <f>+' Exhibit I State'!O41+'Exhibit I Federal'!O23</f>
        <v>56.4</v>
      </c>
      <c r="P42" s="265"/>
      <c r="Q42" s="377">
        <f>+' Exhibit I State'!Q41+'Exhibit I Federal'!Q23</f>
        <v>49</v>
      </c>
      <c r="R42" s="265"/>
      <c r="S42" s="522"/>
      <c r="T42" s="265"/>
      <c r="U42" s="522"/>
      <c r="V42" s="265"/>
      <c r="X42" s="265"/>
      <c r="Y42" s="522"/>
      <c r="Z42" s="265"/>
      <c r="AA42" s="522"/>
      <c r="AB42" s="265"/>
      <c r="AC42" s="254"/>
      <c r="AD42" s="522">
        <f t="shared" si="0"/>
        <v>394.6</v>
      </c>
      <c r="AE42" s="2251"/>
      <c r="AF42" s="259"/>
      <c r="AG42" s="668">
        <f>+' Exhibit I State'!AI41</f>
        <v>435.3</v>
      </c>
      <c r="AH42" s="278"/>
      <c r="AI42" s="671"/>
      <c r="AJ42" s="255">
        <f t="shared" si="1"/>
        <v>-40.700000000000003</v>
      </c>
      <c r="AK42" s="669"/>
      <c r="AL42" s="3234">
        <f>ROUND(IF(AG42=0,0,AJ42/(AG42)),3)</f>
        <v>-9.2999999999999999E-2</v>
      </c>
      <c r="AM42" s="662"/>
    </row>
    <row r="43" spans="1:42" ht="15.75">
      <c r="A43" s="227"/>
      <c r="B43" s="1979" t="s">
        <v>1471</v>
      </c>
      <c r="C43" s="227"/>
      <c r="D43" s="227"/>
      <c r="E43" s="377">
        <f>+' Exhibit I State'!E42+'Exhibit I Federal'!E24</f>
        <v>0</v>
      </c>
      <c r="F43" s="265"/>
      <c r="G43" s="377">
        <f>+' Exhibit I State'!G42+'Exhibit I Federal'!G24</f>
        <v>0</v>
      </c>
      <c r="H43" s="265"/>
      <c r="I43" s="377">
        <f>+' Exhibit I State'!I42+'Exhibit I Federal'!I24</f>
        <v>0</v>
      </c>
      <c r="J43" s="265"/>
      <c r="K43" s="377">
        <f>+' Exhibit I State'!K42+'Exhibit I Federal'!K24</f>
        <v>0</v>
      </c>
      <c r="L43" s="265"/>
      <c r="M43" s="377">
        <f>+' Exhibit I State'!M42+'Exhibit I Federal'!M24</f>
        <v>2.8</v>
      </c>
      <c r="N43" s="265"/>
      <c r="O43" s="377">
        <f>+' Exhibit I State'!O42+'Exhibit I Federal'!O24</f>
        <v>4.7</v>
      </c>
      <c r="P43" s="265"/>
      <c r="Q43" s="377">
        <f>+' Exhibit I State'!Q42+'Exhibit I Federal'!Q24</f>
        <v>0</v>
      </c>
      <c r="R43" s="265"/>
      <c r="S43" s="522"/>
      <c r="T43" s="265"/>
      <c r="U43" s="522"/>
      <c r="V43" s="265"/>
      <c r="X43" s="265"/>
      <c r="Y43" s="522"/>
      <c r="Z43" s="265"/>
      <c r="AA43" s="522"/>
      <c r="AB43" s="265"/>
      <c r="AC43" s="254"/>
      <c r="AD43" s="522">
        <f t="shared" si="0"/>
        <v>7.5</v>
      </c>
      <c r="AE43" s="2251"/>
      <c r="AF43" s="259"/>
      <c r="AG43" s="668">
        <f>+' Exhibit I State'!AI42</f>
        <v>5.8</v>
      </c>
      <c r="AH43" s="278"/>
      <c r="AI43" s="671"/>
      <c r="AJ43" s="255">
        <f t="shared" si="1"/>
        <v>1.7</v>
      </c>
      <c r="AK43" s="669"/>
      <c r="AL43" s="3234">
        <f>ROUND(IF(AG43=0,1,AJ43/(AG43)),3)</f>
        <v>0.29299999999999998</v>
      </c>
      <c r="AM43" s="662"/>
    </row>
    <row r="44" spans="1:42" ht="15.75">
      <c r="A44" s="227"/>
      <c r="B44" s="1979" t="s">
        <v>1429</v>
      </c>
      <c r="C44" s="227"/>
      <c r="D44" s="227"/>
      <c r="E44" s="377">
        <f>+' Exhibit I State'!E43+'Exhibit I Federal'!E25</f>
        <v>2.9</v>
      </c>
      <c r="F44" s="265"/>
      <c r="G44" s="377">
        <f>+' Exhibit I State'!G43+'Exhibit I Federal'!G25</f>
        <v>2.4</v>
      </c>
      <c r="H44" s="265"/>
      <c r="I44" s="377">
        <f>+' Exhibit I State'!I43+'Exhibit I Federal'!I25</f>
        <v>1.9000000000000004</v>
      </c>
      <c r="J44" s="265"/>
      <c r="K44" s="377">
        <f>+' Exhibit I State'!K43+'Exhibit I Federal'!K25</f>
        <v>1.6000000000000005</v>
      </c>
      <c r="L44" s="265"/>
      <c r="M44" s="377">
        <f>+' Exhibit I State'!M43+'Exhibit I Federal'!M25</f>
        <v>2.7</v>
      </c>
      <c r="N44" s="265"/>
      <c r="O44" s="377">
        <f>+' Exhibit I State'!O43+'Exhibit I Federal'!O25</f>
        <v>1.3</v>
      </c>
      <c r="P44" s="265"/>
      <c r="Q44" s="377">
        <f>+' Exhibit I State'!Q43+'Exhibit I Federal'!Q25</f>
        <v>1.1000000000000001</v>
      </c>
      <c r="R44" s="265"/>
      <c r="S44" s="522"/>
      <c r="T44" s="265"/>
      <c r="U44" s="522"/>
      <c r="V44" s="265"/>
      <c r="X44" s="265"/>
      <c r="Y44" s="522"/>
      <c r="Z44" s="265"/>
      <c r="AA44" s="522"/>
      <c r="AB44" s="265"/>
      <c r="AC44" s="254"/>
      <c r="AD44" s="522">
        <f t="shared" si="0"/>
        <v>13.9</v>
      </c>
      <c r="AE44" s="2251"/>
      <c r="AF44" s="259"/>
      <c r="AG44" s="668">
        <f>+' Exhibit I State'!AI43</f>
        <v>13.8</v>
      </c>
      <c r="AH44" s="278"/>
      <c r="AI44" s="671"/>
      <c r="AJ44" s="255">
        <f t="shared" si="1"/>
        <v>0.1</v>
      </c>
      <c r="AK44" s="669"/>
      <c r="AL44" s="3286">
        <f>ROUND(IF(AG44=0,0,AJ44/(AG44)),3)</f>
        <v>7.0000000000000001E-3</v>
      </c>
      <c r="AM44" s="662"/>
    </row>
    <row r="45" spans="1:42" ht="15.75">
      <c r="A45" s="227"/>
      <c r="B45" s="1979" t="s">
        <v>1430</v>
      </c>
      <c r="C45" s="227"/>
      <c r="D45" s="227"/>
      <c r="E45" s="377">
        <f>+' Exhibit I State'!E44+'Exhibit I Federal'!E26</f>
        <v>0</v>
      </c>
      <c r="F45" s="265"/>
      <c r="G45" s="377">
        <f>+' Exhibit I State'!G44+'Exhibit I Federal'!G26</f>
        <v>0.1</v>
      </c>
      <c r="H45" s="265"/>
      <c r="I45" s="377">
        <f>+' Exhibit I State'!I44+'Exhibit I Federal'!I26</f>
        <v>0.1</v>
      </c>
      <c r="J45" s="265"/>
      <c r="K45" s="377">
        <f>+' Exhibit I State'!K44+'Exhibit I Federal'!K26</f>
        <v>0</v>
      </c>
      <c r="L45" s="265"/>
      <c r="M45" s="377">
        <f>+' Exhibit I State'!M44+'Exhibit I Federal'!M26</f>
        <v>0</v>
      </c>
      <c r="N45" s="265"/>
      <c r="O45" s="377">
        <f>+' Exhibit I State'!O44+'Exhibit I Federal'!O26</f>
        <v>0.6</v>
      </c>
      <c r="P45" s="265"/>
      <c r="Q45" s="377">
        <f>+' Exhibit I State'!Q44+'Exhibit I Federal'!Q26</f>
        <v>0</v>
      </c>
      <c r="R45" s="265"/>
      <c r="S45" s="522"/>
      <c r="T45" s="265"/>
      <c r="U45" s="522"/>
      <c r="V45" s="265"/>
      <c r="X45" s="265"/>
      <c r="Y45" s="522"/>
      <c r="Z45" s="265"/>
      <c r="AA45" s="522"/>
      <c r="AB45" s="265"/>
      <c r="AC45" s="254"/>
      <c r="AD45" s="522">
        <f t="shared" si="0"/>
        <v>0.8</v>
      </c>
      <c r="AE45" s="2251"/>
      <c r="AF45" s="259"/>
      <c r="AG45" s="668">
        <f>+' Exhibit I State'!AI44</f>
        <v>0.3</v>
      </c>
      <c r="AH45" s="278"/>
      <c r="AI45" s="671"/>
      <c r="AJ45" s="255">
        <f t="shared" si="1"/>
        <v>0.5</v>
      </c>
      <c r="AK45" s="669"/>
      <c r="AL45" s="3234">
        <f>ROUND(IF(AG45=0,1,AJ45/(AG45)),3)</f>
        <v>1.667</v>
      </c>
      <c r="AM45" s="662"/>
    </row>
    <row r="46" spans="1:42" ht="15.75">
      <c r="A46" s="227"/>
      <c r="B46" s="1979" t="s">
        <v>1565</v>
      </c>
      <c r="C46" s="227"/>
      <c r="D46" s="227"/>
      <c r="E46" s="377"/>
      <c r="F46" s="265"/>
      <c r="G46" s="377"/>
      <c r="H46" s="265"/>
      <c r="I46" s="377"/>
      <c r="J46" s="265"/>
      <c r="K46" s="377"/>
      <c r="L46" s="265"/>
      <c r="M46" s="377"/>
      <c r="N46" s="265"/>
      <c r="O46" s="377"/>
      <c r="P46" s="265"/>
      <c r="Q46" s="377"/>
      <c r="R46" s="265"/>
      <c r="S46" s="522"/>
      <c r="T46" s="265"/>
      <c r="U46" s="522"/>
      <c r="V46" s="265"/>
      <c r="X46" s="265"/>
      <c r="Y46" s="522"/>
      <c r="Z46" s="265"/>
      <c r="AA46" s="522"/>
      <c r="AB46" s="265"/>
      <c r="AC46" s="254"/>
      <c r="AD46" s="522"/>
      <c r="AE46" s="2251"/>
      <c r="AF46" s="259"/>
      <c r="AG46" s="668"/>
      <c r="AH46" s="278"/>
      <c r="AI46" s="671"/>
      <c r="AJ46" s="255"/>
      <c r="AK46" s="669"/>
      <c r="AL46" s="45"/>
      <c r="AM46" s="662"/>
    </row>
    <row r="47" spans="1:42" ht="15.75">
      <c r="A47" s="227"/>
      <c r="B47" s="1979" t="s">
        <v>1475</v>
      </c>
      <c r="C47" s="227"/>
      <c r="D47" s="227"/>
      <c r="E47" s="377">
        <f>+' Exhibit I State'!E46+'Exhibit I Federal'!E28</f>
        <v>134.6</v>
      </c>
      <c r="F47" s="265"/>
      <c r="G47" s="377">
        <f>+' Exhibit I State'!G46+'Exhibit I Federal'!G28</f>
        <v>48.200000000000017</v>
      </c>
      <c r="H47" s="265"/>
      <c r="I47" s="377">
        <f>+' Exhibit I State'!I46+'Exhibit I Federal'!I28</f>
        <v>132.59999999999997</v>
      </c>
      <c r="J47" s="265"/>
      <c r="K47" s="377">
        <f>+' Exhibit I State'!K46+'Exhibit I Federal'!K28</f>
        <v>547.30000000000007</v>
      </c>
      <c r="L47" s="265"/>
      <c r="M47" s="377">
        <f>+' Exhibit I State'!M46+'Exhibit I Federal'!M28</f>
        <v>2.8</v>
      </c>
      <c r="N47" s="265"/>
      <c r="O47" s="377">
        <f>+' Exhibit I State'!O46+'Exhibit I Federal'!O28</f>
        <v>124.9</v>
      </c>
      <c r="P47" s="265"/>
      <c r="Q47" s="377">
        <f>+' Exhibit I State'!Q46+'Exhibit I Federal'!Q28</f>
        <v>38.200000000000003</v>
      </c>
      <c r="R47" s="265"/>
      <c r="S47" s="522"/>
      <c r="T47" s="265"/>
      <c r="U47" s="522"/>
      <c r="V47" s="265"/>
      <c r="X47" s="265"/>
      <c r="Y47" s="522"/>
      <c r="Z47" s="265"/>
      <c r="AA47" s="522"/>
      <c r="AB47" s="265"/>
      <c r="AC47" s="254"/>
      <c r="AD47" s="522">
        <f t="shared" si="0"/>
        <v>1028.5999999999999</v>
      </c>
      <c r="AE47" s="2251"/>
      <c r="AF47" s="259"/>
      <c r="AG47" s="668">
        <f>+' Exhibit I State'!AI46</f>
        <v>1632</v>
      </c>
      <c r="AH47" s="278"/>
      <c r="AI47" s="671"/>
      <c r="AJ47" s="255">
        <f t="shared" si="1"/>
        <v>-603.4</v>
      </c>
      <c r="AK47" s="669"/>
      <c r="AL47" s="45">
        <f>ROUND(IF(AG47=0,0,AJ47/(AG47)),3)</f>
        <v>-0.37</v>
      </c>
      <c r="AM47" s="662"/>
    </row>
    <row r="48" spans="1:42" ht="15.75">
      <c r="A48" s="227"/>
      <c r="B48" s="1979" t="s">
        <v>1478</v>
      </c>
      <c r="C48" s="227"/>
      <c r="D48" s="227"/>
      <c r="E48" s="377">
        <f>+' Exhibit I State'!E47+'Exhibit I Federal'!E29</f>
        <v>0.1</v>
      </c>
      <c r="F48" s="265"/>
      <c r="G48" s="377">
        <f>+' Exhibit I State'!G47+'Exhibit I Federal'!G29</f>
        <v>5</v>
      </c>
      <c r="H48" s="265"/>
      <c r="I48" s="377">
        <f>+' Exhibit I State'!I47+'Exhibit I Federal'!I29</f>
        <v>0</v>
      </c>
      <c r="J48" s="265"/>
      <c r="K48" s="377">
        <f>+' Exhibit I State'!K47+'Exhibit I Federal'!K29</f>
        <v>9</v>
      </c>
      <c r="L48" s="265"/>
      <c r="M48" s="377">
        <f>+' Exhibit I State'!M47+'Exhibit I Federal'!M29</f>
        <v>0</v>
      </c>
      <c r="N48" s="265"/>
      <c r="O48" s="377">
        <f>+' Exhibit I State'!O47+'Exhibit I Federal'!O29</f>
        <v>-5</v>
      </c>
      <c r="P48" s="265"/>
      <c r="Q48" s="377">
        <f>+' Exhibit I State'!Q47+'Exhibit I Federal'!Q29</f>
        <v>0</v>
      </c>
      <c r="R48" s="265"/>
      <c r="S48" s="522"/>
      <c r="T48" s="265"/>
      <c r="U48" s="522"/>
      <c r="V48" s="265"/>
      <c r="X48" s="265"/>
      <c r="Y48" s="522"/>
      <c r="Z48" s="265"/>
      <c r="AA48" s="522"/>
      <c r="AB48" s="265"/>
      <c r="AC48" s="254"/>
      <c r="AD48" s="522">
        <f t="shared" si="0"/>
        <v>9.1</v>
      </c>
      <c r="AE48" s="2251"/>
      <c r="AF48" s="259"/>
      <c r="AG48" s="668">
        <f>+' Exhibit I State'!AI47</f>
        <v>7.5</v>
      </c>
      <c r="AH48" s="278"/>
      <c r="AI48" s="671"/>
      <c r="AJ48" s="255">
        <f t="shared" si="1"/>
        <v>1.6</v>
      </c>
      <c r="AK48" s="669"/>
      <c r="AL48" s="3075">
        <f>ROUND(IF(AG48=0,0,AJ48/(AG48)),3)</f>
        <v>0.21299999999999999</v>
      </c>
      <c r="AM48" s="662"/>
    </row>
    <row r="49" spans="1:42" ht="15.75">
      <c r="A49" s="227"/>
      <c r="B49" s="1979" t="s">
        <v>1448</v>
      </c>
      <c r="C49" s="227"/>
      <c r="D49" s="227"/>
      <c r="E49" s="377">
        <f>+' Exhibit I State'!E48+'Exhibit I Federal'!E30</f>
        <v>0.1</v>
      </c>
      <c r="F49" s="265"/>
      <c r="G49" s="377">
        <f>+' Exhibit I State'!G48+'Exhibit I Federal'!G30</f>
        <v>0.70000000000000007</v>
      </c>
      <c r="H49" s="265"/>
      <c r="I49" s="377">
        <f>+' Exhibit I State'!I48+'Exhibit I Federal'!I30</f>
        <v>0</v>
      </c>
      <c r="J49" s="265"/>
      <c r="K49" s="377">
        <f>+' Exhibit I State'!K48+'Exhibit I Federal'!K30</f>
        <v>0.1</v>
      </c>
      <c r="L49" s="265"/>
      <c r="M49" s="377">
        <f>+' Exhibit I State'!M48+'Exhibit I Federal'!M30</f>
        <v>0</v>
      </c>
      <c r="N49" s="265"/>
      <c r="O49" s="377">
        <f>+' Exhibit I State'!O48+'Exhibit I Federal'!O30</f>
        <v>0</v>
      </c>
      <c r="P49" s="265"/>
      <c r="Q49" s="377">
        <f>+' Exhibit I State'!Q48+'Exhibit I Federal'!Q30</f>
        <v>0.2</v>
      </c>
      <c r="R49" s="265"/>
      <c r="S49" s="522"/>
      <c r="T49" s="265"/>
      <c r="U49" s="522"/>
      <c r="V49" s="265"/>
      <c r="X49" s="265"/>
      <c r="Y49" s="522"/>
      <c r="Z49" s="265"/>
      <c r="AA49" s="522"/>
      <c r="AB49" s="265"/>
      <c r="AC49" s="254"/>
      <c r="AD49" s="522">
        <f t="shared" si="0"/>
        <v>1.1000000000000001</v>
      </c>
      <c r="AE49" s="2251"/>
      <c r="AF49" s="259"/>
      <c r="AG49" s="668">
        <f>+' Exhibit I State'!AI48</f>
        <v>2</v>
      </c>
      <c r="AH49" s="278"/>
      <c r="AI49" s="671"/>
      <c r="AJ49" s="255">
        <f t="shared" si="1"/>
        <v>-0.9</v>
      </c>
      <c r="AK49" s="669"/>
      <c r="AL49" s="45">
        <f>ROUND(IF(AG49=0,0,AJ49/(AG49)),3)</f>
        <v>-0.45</v>
      </c>
      <c r="AM49" s="662"/>
    </row>
    <row r="50" spans="1:42" ht="15.75">
      <c r="A50" s="227"/>
      <c r="B50" s="1979" t="s">
        <v>1449</v>
      </c>
      <c r="C50" s="227"/>
      <c r="D50" s="227"/>
      <c r="E50" s="377">
        <f>+' Exhibit I State'!E49+'Exhibit I Federal'!E31</f>
        <v>0.2</v>
      </c>
      <c r="F50" s="265"/>
      <c r="G50" s="377">
        <f>+' Exhibit I State'!G49+'Exhibit I Federal'!G31</f>
        <v>1.1000000000000001</v>
      </c>
      <c r="H50" s="265"/>
      <c r="I50" s="377">
        <f>+' Exhibit I State'!I49+'Exhibit I Federal'!I31</f>
        <v>0.6</v>
      </c>
      <c r="J50" s="265"/>
      <c r="K50" s="377">
        <f>+' Exhibit I State'!K49+'Exhibit I Federal'!K31</f>
        <v>0.4</v>
      </c>
      <c r="L50" s="265"/>
      <c r="M50" s="377">
        <f>+' Exhibit I State'!M49+'Exhibit I Federal'!M31</f>
        <v>0.4</v>
      </c>
      <c r="N50" s="265"/>
      <c r="O50" s="377">
        <f>+' Exhibit I State'!O49+'Exhibit I Federal'!O31</f>
        <v>0.5</v>
      </c>
      <c r="P50" s="265"/>
      <c r="Q50" s="377">
        <f>+' Exhibit I State'!Q49+'Exhibit I Federal'!Q31</f>
        <v>1.3</v>
      </c>
      <c r="R50" s="265"/>
      <c r="S50" s="522"/>
      <c r="T50" s="265"/>
      <c r="U50" s="522"/>
      <c r="V50" s="265"/>
      <c r="X50" s="265"/>
      <c r="Y50" s="522"/>
      <c r="Z50" s="265"/>
      <c r="AA50" s="522"/>
      <c r="AB50" s="265"/>
      <c r="AC50" s="254"/>
      <c r="AD50" s="522">
        <f t="shared" si="0"/>
        <v>4.5</v>
      </c>
      <c r="AE50" s="2251"/>
      <c r="AF50" s="259"/>
      <c r="AG50" s="3104">
        <f>+' Exhibit I State'!AI49+'Exhibit I Federal'!AI31</f>
        <v>6.6999999999999993</v>
      </c>
      <c r="AH50" s="278"/>
      <c r="AI50" s="671"/>
      <c r="AJ50" s="255">
        <f t="shared" si="1"/>
        <v>-2.2000000000000002</v>
      </c>
      <c r="AK50" s="669"/>
      <c r="AL50" s="45">
        <f>ROUND(IF(AG50=0,0,AJ50/(AG50)),3)</f>
        <v>-0.32800000000000001</v>
      </c>
      <c r="AM50" s="662"/>
    </row>
    <row r="51" spans="1:42" ht="15.75">
      <c r="A51" s="227"/>
      <c r="B51" s="1979" t="s">
        <v>1566</v>
      </c>
      <c r="C51" s="227"/>
      <c r="D51" s="227"/>
      <c r="E51" s="377"/>
      <c r="F51" s="265"/>
      <c r="G51" s="377"/>
      <c r="H51" s="265"/>
      <c r="I51" s="377"/>
      <c r="J51" s="265"/>
      <c r="K51" s="377"/>
      <c r="L51" s="265"/>
      <c r="M51" s="377"/>
      <c r="N51" s="265"/>
      <c r="O51" s="377"/>
      <c r="P51" s="265"/>
      <c r="Q51" s="377"/>
      <c r="R51" s="265"/>
      <c r="S51" s="522"/>
      <c r="T51" s="265"/>
      <c r="U51" s="522"/>
      <c r="V51" s="265"/>
      <c r="X51" s="265"/>
      <c r="Y51" s="522"/>
      <c r="Z51" s="265"/>
      <c r="AA51" s="522"/>
      <c r="AB51" s="265"/>
      <c r="AC51" s="254"/>
      <c r="AD51" s="522"/>
      <c r="AE51" s="2251"/>
      <c r="AF51" s="259"/>
      <c r="AG51" s="668"/>
      <c r="AH51" s="278"/>
      <c r="AI51" s="671"/>
      <c r="AJ51" s="255"/>
      <c r="AK51" s="669"/>
      <c r="AL51" s="45"/>
      <c r="AM51" s="662"/>
    </row>
    <row r="52" spans="1:42" ht="15.75">
      <c r="A52" s="227"/>
      <c r="B52" s="1979" t="s">
        <v>1479</v>
      </c>
      <c r="C52" s="227"/>
      <c r="D52" s="227"/>
      <c r="E52" s="377">
        <f>+' Exhibit I State'!E51+'Exhibit I Federal'!E33</f>
        <v>0</v>
      </c>
      <c r="F52" s="265"/>
      <c r="G52" s="377">
        <f>+' Exhibit I State'!G51+'Exhibit I Federal'!G33</f>
        <v>0</v>
      </c>
      <c r="H52" s="265"/>
      <c r="I52" s="377">
        <f>+' Exhibit I State'!I51+'Exhibit I Federal'!I33</f>
        <v>0</v>
      </c>
      <c r="J52" s="265"/>
      <c r="K52" s="377">
        <f>+' Exhibit I State'!K51+'Exhibit I Federal'!K33</f>
        <v>0</v>
      </c>
      <c r="L52" s="265"/>
      <c r="M52" s="377">
        <f>+' Exhibit I State'!M51+'Exhibit I Federal'!M33</f>
        <v>0</v>
      </c>
      <c r="N52" s="265"/>
      <c r="O52" s="377">
        <f>+' Exhibit I State'!O51+'Exhibit I Federal'!O33</f>
        <v>0</v>
      </c>
      <c r="P52" s="265"/>
      <c r="Q52" s="377">
        <f>+' Exhibit I State'!Q51+'Exhibit I Federal'!Q33</f>
        <v>0</v>
      </c>
      <c r="R52" s="265"/>
      <c r="S52" s="522"/>
      <c r="T52" s="265"/>
      <c r="U52" s="522"/>
      <c r="V52" s="265"/>
      <c r="X52" s="265"/>
      <c r="Y52" s="522"/>
      <c r="Z52" s="265"/>
      <c r="AA52" s="522"/>
      <c r="AB52" s="265"/>
      <c r="AC52" s="254"/>
      <c r="AD52" s="522">
        <f t="shared" si="0"/>
        <v>0</v>
      </c>
      <c r="AE52" s="2251"/>
      <c r="AF52" s="259"/>
      <c r="AG52" s="668">
        <f>+' Exhibit I State'!AI51</f>
        <v>1.5</v>
      </c>
      <c r="AH52" s="278"/>
      <c r="AI52" s="671"/>
      <c r="AJ52" s="255">
        <f t="shared" si="1"/>
        <v>-1.5</v>
      </c>
      <c r="AK52" s="669"/>
      <c r="AL52" s="45">
        <f>ROUND(IF(AG52=0,0,AJ52/(AG52)),3)</f>
        <v>-1</v>
      </c>
      <c r="AM52" s="662"/>
    </row>
    <row r="53" spans="1:42" ht="15.75">
      <c r="A53" s="227"/>
      <c r="B53" s="1979" t="s">
        <v>1481</v>
      </c>
      <c r="C53" s="227"/>
      <c r="D53" s="227"/>
      <c r="E53" s="377">
        <f>+' Exhibit I State'!E52+'Exhibit I Federal'!E34</f>
        <v>0</v>
      </c>
      <c r="F53" s="265"/>
      <c r="G53" s="377">
        <f>+' Exhibit I State'!G52+'Exhibit I Federal'!G34</f>
        <v>0</v>
      </c>
      <c r="H53" s="265"/>
      <c r="I53" s="377">
        <f>+' Exhibit I State'!I52+'Exhibit I Federal'!I34</f>
        <v>0</v>
      </c>
      <c r="J53" s="265"/>
      <c r="K53" s="377">
        <f>+' Exhibit I State'!K52+'Exhibit I Federal'!K34</f>
        <v>0</v>
      </c>
      <c r="L53" s="265"/>
      <c r="M53" s="377">
        <f>+' Exhibit I State'!M52+'Exhibit I Federal'!M34</f>
        <v>0</v>
      </c>
      <c r="N53" s="265"/>
      <c r="O53" s="377">
        <f>+' Exhibit I State'!O52+'Exhibit I Federal'!O34</f>
        <v>14</v>
      </c>
      <c r="P53" s="265"/>
      <c r="Q53" s="377">
        <f>+' Exhibit I State'!Q52+'Exhibit I Federal'!Q34</f>
        <v>0.2</v>
      </c>
      <c r="R53" s="265"/>
      <c r="S53" s="522"/>
      <c r="T53" s="265"/>
      <c r="U53" s="522"/>
      <c r="V53" s="265"/>
      <c r="X53" s="265"/>
      <c r="Y53" s="522"/>
      <c r="Z53" s="265"/>
      <c r="AA53" s="522"/>
      <c r="AB53" s="265"/>
      <c r="AC53" s="254"/>
      <c r="AD53" s="522">
        <f t="shared" si="0"/>
        <v>14.2</v>
      </c>
      <c r="AE53" s="2251"/>
      <c r="AF53" s="259"/>
      <c r="AG53" s="668">
        <f>+' Exhibit I State'!AI52</f>
        <v>0</v>
      </c>
      <c r="AH53" s="278"/>
      <c r="AI53" s="671"/>
      <c r="AJ53" s="255">
        <f t="shared" si="1"/>
        <v>14.2</v>
      </c>
      <c r="AK53" s="669"/>
      <c r="AL53" s="3234">
        <f>ROUND(IF(AG53=0,1,AJ53/(AG53)),3)</f>
        <v>1</v>
      </c>
      <c r="AM53" s="662"/>
    </row>
    <row r="54" spans="1:42" ht="15.75">
      <c r="A54" s="227"/>
      <c r="B54" s="1979" t="s">
        <v>1485</v>
      </c>
      <c r="C54" s="227"/>
      <c r="D54" s="227"/>
      <c r="E54" s="377">
        <f>+' Exhibit I State'!E53+'Exhibit I Federal'!E35</f>
        <v>0</v>
      </c>
      <c r="F54" s="265"/>
      <c r="G54" s="377">
        <f>+' Exhibit I State'!G53+'Exhibit I Federal'!G35</f>
        <v>1.1000000000000001</v>
      </c>
      <c r="H54" s="265"/>
      <c r="I54" s="377">
        <f>+' Exhibit I State'!I53+'Exhibit I Federal'!I35</f>
        <v>0.5</v>
      </c>
      <c r="J54" s="265"/>
      <c r="K54" s="377">
        <f>+' Exhibit I State'!K53+'Exhibit I Federal'!K35</f>
        <v>0.6</v>
      </c>
      <c r="L54" s="265"/>
      <c r="M54" s="377">
        <f>+' Exhibit I State'!M53+'Exhibit I Federal'!M35</f>
        <v>0.4</v>
      </c>
      <c r="N54" s="265"/>
      <c r="O54" s="377">
        <f>+' Exhibit I State'!O53+'Exhibit I Federal'!O35</f>
        <v>0.8</v>
      </c>
      <c r="P54" s="265"/>
      <c r="Q54" s="377">
        <f>+' Exhibit I State'!Q53+'Exhibit I Federal'!Q35</f>
        <v>0.2</v>
      </c>
      <c r="R54" s="265"/>
      <c r="S54" s="522"/>
      <c r="T54" s="265"/>
      <c r="U54" s="522"/>
      <c r="V54" s="265"/>
      <c r="X54" s="265"/>
      <c r="Y54" s="522"/>
      <c r="Z54" s="265"/>
      <c r="AA54" s="522"/>
      <c r="AB54" s="265"/>
      <c r="AC54" s="254"/>
      <c r="AD54" s="522">
        <f t="shared" si="0"/>
        <v>3.6</v>
      </c>
      <c r="AE54" s="2251"/>
      <c r="AF54" s="259"/>
      <c r="AG54" s="668">
        <f>+' Exhibit I State'!AI53</f>
        <v>1.7</v>
      </c>
      <c r="AH54" s="278"/>
      <c r="AI54" s="671"/>
      <c r="AJ54" s="255">
        <f t="shared" si="1"/>
        <v>1.9</v>
      </c>
      <c r="AK54" s="669"/>
      <c r="AL54" s="45">
        <f>ROUND(IF(AG54=0,0,AJ54/(AG54)),3)</f>
        <v>1.1180000000000001</v>
      </c>
      <c r="AM54" s="662"/>
    </row>
    <row r="55" spans="1:42" ht="15.75">
      <c r="A55" s="227"/>
      <c r="B55" s="1979" t="s">
        <v>1487</v>
      </c>
      <c r="C55" s="227"/>
      <c r="D55" s="227"/>
      <c r="E55" s="377">
        <f>+' Exhibit I State'!E54+'Exhibit I Federal'!E36</f>
        <v>0.1</v>
      </c>
      <c r="F55" s="265"/>
      <c r="G55" s="377">
        <f>+' Exhibit I State'!G54+'Exhibit I Federal'!G36</f>
        <v>1.7</v>
      </c>
      <c r="H55" s="265"/>
      <c r="I55" s="377">
        <f>+' Exhibit I State'!I54+'Exhibit I Federal'!I36</f>
        <v>1.3</v>
      </c>
      <c r="J55" s="265"/>
      <c r="K55" s="377">
        <f>+' Exhibit I State'!K54+'Exhibit I Federal'!K36</f>
        <v>1.5</v>
      </c>
      <c r="L55" s="265"/>
      <c r="M55" s="377">
        <f>+' Exhibit I State'!M54+'Exhibit I Federal'!M36</f>
        <v>0.8</v>
      </c>
      <c r="N55" s="265"/>
      <c r="O55" s="377">
        <f>+' Exhibit I State'!O54+'Exhibit I Federal'!O36</f>
        <v>0.4</v>
      </c>
      <c r="P55" s="265"/>
      <c r="Q55" s="377">
        <f>+' Exhibit I State'!Q54+'Exhibit I Federal'!Q36</f>
        <v>0.9</v>
      </c>
      <c r="R55" s="265"/>
      <c r="S55" s="522"/>
      <c r="T55" s="265"/>
      <c r="U55" s="522"/>
      <c r="V55" s="265"/>
      <c r="X55" s="265"/>
      <c r="Y55" s="522"/>
      <c r="Z55" s="265"/>
      <c r="AA55" s="522"/>
      <c r="AB55" s="265"/>
      <c r="AC55" s="254"/>
      <c r="AD55" s="522">
        <f t="shared" si="0"/>
        <v>6.7</v>
      </c>
      <c r="AE55" s="2251"/>
      <c r="AF55" s="259"/>
      <c r="AG55" s="3104">
        <f>+' Exhibit I State'!AI54+'Exhibit I Federal'!AI36</f>
        <v>7.6</v>
      </c>
      <c r="AH55" s="278"/>
      <c r="AI55" s="671"/>
      <c r="AJ55" s="255">
        <f t="shared" si="1"/>
        <v>-0.9</v>
      </c>
      <c r="AK55" s="669"/>
      <c r="AL55" s="45">
        <f>ROUND(IF(AG55=0,0,AJ55/(AG55)),3)</f>
        <v>-0.11799999999999999</v>
      </c>
      <c r="AM55" s="662"/>
    </row>
    <row r="56" spans="1:42" ht="15.75">
      <c r="A56" s="227"/>
      <c r="B56" s="1979" t="s">
        <v>1459</v>
      </c>
      <c r="C56" s="227"/>
      <c r="D56" s="227"/>
      <c r="E56" s="377">
        <f>+' Exhibit I State'!E55+'Exhibit I Federal'!E37</f>
        <v>0</v>
      </c>
      <c r="F56" s="265"/>
      <c r="G56" s="377">
        <f>+' Exhibit I State'!G55+'Exhibit I Federal'!G37</f>
        <v>0.1</v>
      </c>
      <c r="H56" s="265"/>
      <c r="I56" s="377">
        <f>+' Exhibit I State'!I55+'Exhibit I Federal'!I37</f>
        <v>0.1</v>
      </c>
      <c r="J56" s="265"/>
      <c r="K56" s="377">
        <f>+' Exhibit I State'!K55+'Exhibit I Federal'!K37</f>
        <v>0.1</v>
      </c>
      <c r="L56" s="265"/>
      <c r="M56" s="377">
        <f>+' Exhibit I State'!M55+'Exhibit I Federal'!M37</f>
        <v>0.2</v>
      </c>
      <c r="N56" s="265"/>
      <c r="O56" s="377">
        <f>+' Exhibit I State'!O55+'Exhibit I Federal'!O37</f>
        <v>8.9</v>
      </c>
      <c r="P56" s="265"/>
      <c r="Q56" s="377">
        <f>+' Exhibit I State'!Q55+'Exhibit I Federal'!Q37</f>
        <v>0.2</v>
      </c>
      <c r="R56" s="265"/>
      <c r="S56" s="522"/>
      <c r="T56" s="265"/>
      <c r="U56" s="522"/>
      <c r="V56" s="265"/>
      <c r="X56" s="265"/>
      <c r="Y56" s="522"/>
      <c r="Z56" s="265"/>
      <c r="AA56" s="522"/>
      <c r="AB56" s="265"/>
      <c r="AC56" s="254"/>
      <c r="AD56" s="522">
        <f t="shared" si="0"/>
        <v>9.6</v>
      </c>
      <c r="AE56" s="2251"/>
      <c r="AF56" s="259"/>
      <c r="AG56" s="668">
        <f>+' Exhibit I State'!AI55+'Exhibit I Federal'!AI37</f>
        <v>0.7</v>
      </c>
      <c r="AH56" s="278"/>
      <c r="AI56" s="671"/>
      <c r="AJ56" s="255">
        <f t="shared" si="1"/>
        <v>8.9</v>
      </c>
      <c r="AK56" s="669"/>
      <c r="AL56" s="3075">
        <f>ROUND(IF(AG56=0,0,AJ56/(AG56)),3)</f>
        <v>12.714</v>
      </c>
      <c r="AM56" s="662"/>
    </row>
    <row r="57" spans="1:42" s="667" customFormat="1" ht="15.75">
      <c r="A57" s="225"/>
      <c r="B57" s="594" t="s">
        <v>1692</v>
      </c>
      <c r="C57" s="225"/>
      <c r="D57" s="225"/>
      <c r="E57" s="489">
        <f>ROUND(SUM(E37:E56),1)</f>
        <v>204.2</v>
      </c>
      <c r="F57" s="2154"/>
      <c r="G57" s="489">
        <f>ROUND(SUM(G37:G56),1)</f>
        <v>137.80000000000001</v>
      </c>
      <c r="H57" s="2368"/>
      <c r="I57" s="489">
        <f>ROUND(SUM(I37:I56),1)</f>
        <v>230</v>
      </c>
      <c r="J57" s="2154"/>
      <c r="K57" s="489">
        <f>ROUND(SUM(K37:K56),1)</f>
        <v>635.20000000000005</v>
      </c>
      <c r="L57" s="2154"/>
      <c r="M57" s="489">
        <f>ROUND(SUM(M37:M56),1)</f>
        <v>78.099999999999994</v>
      </c>
      <c r="N57" s="2154"/>
      <c r="O57" s="489">
        <f>ROUND(SUM(O37:O56),1)</f>
        <v>220.5</v>
      </c>
      <c r="P57" s="2154"/>
      <c r="Q57" s="489">
        <f>ROUND(SUM(Q37:Q56),1)</f>
        <v>102.3</v>
      </c>
      <c r="R57" s="2154"/>
      <c r="S57" s="489">
        <f>ROUND(SUM(S37:S56),1)</f>
        <v>0</v>
      </c>
      <c r="T57" s="2154"/>
      <c r="U57" s="489">
        <f>ROUND(SUM(U37:U56),1)</f>
        <v>0</v>
      </c>
      <c r="V57" s="2154"/>
      <c r="W57" s="489">
        <f>ROUND(SUM(W37:W56),1)</f>
        <v>0</v>
      </c>
      <c r="X57" s="2154"/>
      <c r="Y57" s="489">
        <f>ROUND(SUM(Y37:Y56),1)</f>
        <v>0</v>
      </c>
      <c r="Z57" s="2154"/>
      <c r="AA57" s="489">
        <f>ROUND(SUM(AA37:AA56),1)</f>
        <v>0</v>
      </c>
      <c r="AB57" s="2154"/>
      <c r="AC57" s="263"/>
      <c r="AD57" s="489">
        <f>ROUND(SUM(AD37:AD56),1)</f>
        <v>1608.1</v>
      </c>
      <c r="AE57" s="426"/>
      <c r="AF57" s="277"/>
      <c r="AG57" s="489">
        <f>ROUND(SUM(AG37:AG56),1)</f>
        <v>2174.6999999999998</v>
      </c>
      <c r="AH57" s="288"/>
      <c r="AI57" s="671"/>
      <c r="AJ57" s="489">
        <f>ROUND(SUM(AJ37:AJ56),1)</f>
        <v>-566.6</v>
      </c>
      <c r="AK57" s="2369"/>
      <c r="AL57" s="2370">
        <f>ROUND(SUM(AJ57/AG57),3)</f>
        <v>-0.26100000000000001</v>
      </c>
    </row>
    <row r="58" spans="1:42" ht="15.75">
      <c r="A58" s="227"/>
      <c r="B58" s="594"/>
      <c r="C58" s="227"/>
      <c r="D58" s="227"/>
      <c r="E58" s="1214"/>
      <c r="F58" s="265"/>
      <c r="G58" s="1214"/>
      <c r="H58" s="522"/>
      <c r="I58" s="1214"/>
      <c r="J58" s="265"/>
      <c r="K58" s="1982"/>
      <c r="L58" s="265"/>
      <c r="M58" s="1982"/>
      <c r="N58" s="265"/>
      <c r="O58" s="522"/>
      <c r="P58" s="265"/>
      <c r="Q58" s="522"/>
      <c r="R58" s="265"/>
      <c r="S58" s="522"/>
      <c r="T58" s="265"/>
      <c r="U58" s="522"/>
      <c r="V58" s="265"/>
      <c r="X58" s="265"/>
      <c r="Y58" s="522"/>
      <c r="Z58" s="265"/>
      <c r="AA58" s="522"/>
      <c r="AB58" s="265"/>
      <c r="AC58" s="254"/>
      <c r="AD58" s="522"/>
      <c r="AE58" s="2345"/>
      <c r="AF58" s="253"/>
      <c r="AG58" s="265"/>
      <c r="AH58" s="278"/>
      <c r="AI58" s="671"/>
      <c r="AJ58" s="255"/>
      <c r="AK58" s="672"/>
      <c r="AL58" s="670"/>
    </row>
    <row r="59" spans="1:42" ht="15.75">
      <c r="A59" s="227"/>
      <c r="B59" s="227" t="s">
        <v>157</v>
      </c>
      <c r="C59" s="227"/>
      <c r="D59" s="227"/>
      <c r="E59" s="522">
        <f>+' Exhibit I State'!E58+'Exhibit I Federal'!E40</f>
        <v>111.6</v>
      </c>
      <c r="F59" s="265"/>
      <c r="G59" s="522">
        <f>+' Exhibit I State'!G58+'Exhibit I Federal'!G40</f>
        <v>128.6</v>
      </c>
      <c r="H59" s="265"/>
      <c r="I59" s="522">
        <f>+' Exhibit I State'!I58+'Exhibit I Federal'!I40</f>
        <v>108.8</v>
      </c>
      <c r="J59" s="265"/>
      <c r="K59" s="522">
        <f>+' Exhibit I State'!K58+'Exhibit I Federal'!K40</f>
        <v>224.4</v>
      </c>
      <c r="L59" s="265"/>
      <c r="M59" s="522">
        <f>+' Exhibit I State'!M58+'Exhibit I Federal'!M40</f>
        <v>151.80000000000001</v>
      </c>
      <c r="N59" s="265"/>
      <c r="O59" s="522">
        <f>+' Exhibit I State'!O58+'Exhibit I Federal'!O40</f>
        <v>207.6</v>
      </c>
      <c r="P59" s="265"/>
      <c r="Q59" s="522">
        <f>+' Exhibit I State'!Q58+'Exhibit I Federal'!Q40</f>
        <v>171.6</v>
      </c>
      <c r="R59" s="265"/>
      <c r="S59" s="522"/>
      <c r="T59" s="265"/>
      <c r="U59" s="522"/>
      <c r="V59" s="265"/>
      <c r="X59" s="265"/>
      <c r="Y59" s="522"/>
      <c r="Z59" s="265"/>
      <c r="AA59" s="522"/>
      <c r="AB59" s="265"/>
      <c r="AC59" s="254"/>
      <c r="AD59" s="265">
        <f>ROUND(SUM(E59:AA59),1)</f>
        <v>1104.4000000000001</v>
      </c>
      <c r="AE59" s="280"/>
      <c r="AF59" s="253"/>
      <c r="AG59" s="265">
        <f>+' Exhibit I State'!AI58+'Exhibit I Federal'!AI40</f>
        <v>1469.3</v>
      </c>
      <c r="AH59" s="278"/>
      <c r="AI59" s="673"/>
      <c r="AJ59" s="675">
        <f>ROUND(SUM(+AD59-AG59),1)</f>
        <v>-364.9</v>
      </c>
      <c r="AK59" s="672"/>
      <c r="AL59" s="676">
        <f>ROUND(SUM(AJ59/AG59),3)</f>
        <v>-0.248</v>
      </c>
    </row>
    <row r="60" spans="1:42" ht="15.75">
      <c r="A60" s="227"/>
      <c r="B60" s="227"/>
      <c r="C60" s="227"/>
      <c r="D60" s="227"/>
      <c r="E60" s="293"/>
      <c r="F60" s="265"/>
      <c r="G60" s="293"/>
      <c r="H60" s="265"/>
      <c r="I60" s="293"/>
      <c r="J60" s="265"/>
      <c r="K60" s="422"/>
      <c r="L60" s="265"/>
      <c r="M60" s="422"/>
      <c r="N60" s="265"/>
      <c r="O60" s="293"/>
      <c r="P60" s="265"/>
      <c r="Q60" s="293"/>
      <c r="R60" s="265"/>
      <c r="S60" s="293"/>
      <c r="T60" s="265"/>
      <c r="U60" s="293"/>
      <c r="V60" s="265"/>
      <c r="W60" s="293"/>
      <c r="X60" s="265"/>
      <c r="Y60" s="293"/>
      <c r="Z60" s="265"/>
      <c r="AA60" s="293"/>
      <c r="AB60" s="265"/>
      <c r="AC60" s="254"/>
      <c r="AD60" s="293"/>
      <c r="AE60" s="280"/>
      <c r="AF60" s="253"/>
      <c r="AG60" s="293"/>
      <c r="AH60" s="253"/>
      <c r="AI60" s="673"/>
      <c r="AJ60" s="255"/>
      <c r="AK60" s="662"/>
      <c r="AL60" s="670"/>
    </row>
    <row r="61" spans="1:42" ht="15.75">
      <c r="A61" s="227"/>
      <c r="B61" s="225" t="s">
        <v>208</v>
      </c>
      <c r="C61" s="227"/>
      <c r="D61" s="227"/>
      <c r="E61" s="614">
        <f>ROUND(SUM(+E57+E59+E33),1)</f>
        <v>418.4</v>
      </c>
      <c r="F61" s="261"/>
      <c r="G61" s="614">
        <f>ROUND(SUM(+G57+G59+G33),1)</f>
        <v>364.4</v>
      </c>
      <c r="H61" s="261"/>
      <c r="I61" s="614">
        <f>ROUND(SUM(+I57+I59+I33),1)</f>
        <v>470.3</v>
      </c>
      <c r="J61" s="261"/>
      <c r="K61" s="614">
        <f>ROUND(SUM(+K57+K59+K33),1)</f>
        <v>970.7</v>
      </c>
      <c r="L61" s="261"/>
      <c r="M61" s="614">
        <f>ROUND(SUM(+M57+M59+M33),1)</f>
        <v>354.9</v>
      </c>
      <c r="N61" s="261"/>
      <c r="O61" s="614">
        <f>ROUND(SUM(+O57+O59+O33),1)</f>
        <v>568.9</v>
      </c>
      <c r="P61" s="261"/>
      <c r="Q61" s="614">
        <f>ROUND(SUM(+Q57+Q59+Q33),1)</f>
        <v>385.1</v>
      </c>
      <c r="R61" s="261"/>
      <c r="S61" s="614">
        <f>ROUND(SUM(+S57+S59+S33),1)</f>
        <v>0</v>
      </c>
      <c r="T61" s="261"/>
      <c r="U61" s="614">
        <f>ROUND(SUM(+U57+U59+U33),1)</f>
        <v>0</v>
      </c>
      <c r="V61" s="261"/>
      <c r="W61" s="614">
        <f>ROUND(SUM(+W57+W59+W33),1)</f>
        <v>0</v>
      </c>
      <c r="X61" s="261"/>
      <c r="Y61" s="614">
        <f>ROUND(SUM(+Y57+Y59+Y33),1)</f>
        <v>0</v>
      </c>
      <c r="Z61" s="261"/>
      <c r="AA61" s="614">
        <f>ROUND(SUM(+AA57+AA59+AA33),1)</f>
        <v>0</v>
      </c>
      <c r="AB61" s="261"/>
      <c r="AC61" s="263"/>
      <c r="AD61" s="614">
        <f>ROUND(SUM(+AD57+AD59+AD33),1)</f>
        <v>3532.7</v>
      </c>
      <c r="AE61" s="426"/>
      <c r="AF61" s="277"/>
      <c r="AG61" s="614">
        <f>ROUND(SUM(+AG57+AG59+AG33),1)</f>
        <v>4446.1000000000004</v>
      </c>
      <c r="AH61" s="288"/>
      <c r="AI61" s="673"/>
      <c r="AJ61" s="614">
        <f>ROUND(SUM(+AJ57+AJ59+AJ33),1)</f>
        <v>-913.4</v>
      </c>
      <c r="AK61" s="373"/>
      <c r="AL61" s="2000">
        <f>ROUND(SUM(AJ61/AG61),3)</f>
        <v>-0.20499999999999999</v>
      </c>
      <c r="AM61" s="667"/>
      <c r="AN61" s="677"/>
      <c r="AO61" s="667"/>
      <c r="AP61" s="667"/>
    </row>
    <row r="62" spans="1:42" ht="15.75">
      <c r="A62" s="227"/>
      <c r="B62" s="227"/>
      <c r="C62" s="227"/>
      <c r="D62" s="227"/>
      <c r="E62" s="293"/>
      <c r="F62" s="265"/>
      <c r="G62" s="293"/>
      <c r="H62" s="265"/>
      <c r="I62" s="293"/>
      <c r="J62" s="265"/>
      <c r="K62" s="293"/>
      <c r="L62" s="265"/>
      <c r="M62" s="293"/>
      <c r="N62" s="265"/>
      <c r="O62" s="293"/>
      <c r="P62" s="265"/>
      <c r="Q62" s="293"/>
      <c r="R62" s="265"/>
      <c r="S62" s="293"/>
      <c r="T62" s="265"/>
      <c r="U62" s="293"/>
      <c r="V62" s="265"/>
      <c r="W62" s="293"/>
      <c r="X62" s="265"/>
      <c r="Y62" s="293"/>
      <c r="Z62" s="265"/>
      <c r="AA62" s="293"/>
      <c r="AB62" s="265"/>
      <c r="AC62" s="254"/>
      <c r="AD62" s="293"/>
      <c r="AE62" s="280"/>
      <c r="AF62" s="253"/>
      <c r="AG62" s="293"/>
      <c r="AH62" s="253"/>
      <c r="AI62" s="673"/>
      <c r="AJ62" s="255"/>
      <c r="AK62" s="662"/>
      <c r="AL62" s="670"/>
    </row>
    <row r="63" spans="1:42" ht="15.75">
      <c r="A63" s="227"/>
      <c r="B63" s="225" t="s">
        <v>24</v>
      </c>
      <c r="C63" s="227"/>
      <c r="D63" s="227"/>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54"/>
      <c r="AD63" s="265"/>
      <c r="AE63" s="280"/>
      <c r="AF63" s="253"/>
      <c r="AG63" s="265"/>
      <c r="AH63" s="265"/>
      <c r="AI63" s="673"/>
      <c r="AJ63" s="255"/>
      <c r="AK63" s="662"/>
      <c r="AL63" s="670"/>
    </row>
    <row r="64" spans="1:42" ht="15.75">
      <c r="A64" s="227"/>
      <c r="B64" s="227" t="s">
        <v>159</v>
      </c>
      <c r="C64" s="227"/>
      <c r="D64" s="227"/>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54"/>
      <c r="AD64" s="278"/>
      <c r="AE64" s="280"/>
      <c r="AF64" s="253"/>
      <c r="AG64" s="265"/>
      <c r="AH64" s="265"/>
      <c r="AI64" s="673"/>
      <c r="AJ64" s="255"/>
      <c r="AK64" s="662"/>
      <c r="AL64" s="670"/>
    </row>
    <row r="65" spans="1:42" ht="15.75">
      <c r="A65" s="227"/>
      <c r="B65" s="227" t="s">
        <v>26</v>
      </c>
      <c r="C65" s="227"/>
      <c r="D65" s="227"/>
      <c r="E65" s="522">
        <f>+' Exhibit I State'!E64+'Exhibit I Federal'!E46</f>
        <v>0.5</v>
      </c>
      <c r="F65" s="265"/>
      <c r="G65" s="522">
        <f>+' Exhibit I State'!G64+'Exhibit I Federal'!G46</f>
        <v>0.2</v>
      </c>
      <c r="H65" s="522"/>
      <c r="I65" s="522">
        <f>+' Exhibit I State'!I64+'Exhibit I Federal'!I46</f>
        <v>0.2</v>
      </c>
      <c r="J65" s="265"/>
      <c r="K65" s="522">
        <f>+' Exhibit I State'!K64+'Exhibit I Federal'!K46</f>
        <v>13.1</v>
      </c>
      <c r="L65" s="265"/>
      <c r="M65" s="522">
        <f>+' Exhibit I State'!M64+'Exhibit I Federal'!M46</f>
        <v>1</v>
      </c>
      <c r="N65" s="265"/>
      <c r="O65" s="522">
        <f>+' Exhibit I State'!O64+'Exhibit I Federal'!O46</f>
        <v>0.3</v>
      </c>
      <c r="P65" s="265"/>
      <c r="Q65" s="522">
        <f>+' Exhibit I State'!Q64+'Exhibit I Federal'!Q46</f>
        <v>0.9</v>
      </c>
      <c r="R65" s="265"/>
      <c r="S65" s="522"/>
      <c r="T65" s="265"/>
      <c r="U65" s="522"/>
      <c r="V65" s="265"/>
      <c r="X65" s="265"/>
      <c r="Y65" s="522"/>
      <c r="Z65" s="265"/>
      <c r="AA65" s="522"/>
      <c r="AB65" s="265"/>
      <c r="AC65" s="254"/>
      <c r="AD65" s="265">
        <f>ROUND(SUM(E65:AA65),1)</f>
        <v>16.2</v>
      </c>
      <c r="AE65" s="280"/>
      <c r="AF65" s="253"/>
      <c r="AG65" s="265">
        <f>' Exhibit I State'!AI64+'Exhibit I Federal'!AI46</f>
        <v>22.5</v>
      </c>
      <c r="AH65" s="278"/>
      <c r="AI65" s="671"/>
      <c r="AJ65" s="255">
        <f>ROUND(SUM(+AD65-AG65),1)</f>
        <v>-6.3</v>
      </c>
      <c r="AK65" s="672"/>
      <c r="AL65" s="3234">
        <f>ROUND(IF(AG65=0,0,AJ65/(AG65)),3)</f>
        <v>-0.28000000000000003</v>
      </c>
    </row>
    <row r="66" spans="1:42" ht="15.75">
      <c r="A66" s="227"/>
      <c r="B66" s="227" t="s">
        <v>27</v>
      </c>
      <c r="C66" s="227"/>
      <c r="D66" s="227"/>
      <c r="E66" s="522">
        <f>+' Exhibit I State'!E65+'Exhibit I Federal'!E47</f>
        <v>2.2999999999999998</v>
      </c>
      <c r="F66" s="265"/>
      <c r="G66" s="522">
        <f>+' Exhibit I State'!G65+'Exhibit I Federal'!G47</f>
        <v>4.0999999999999996</v>
      </c>
      <c r="H66" s="265"/>
      <c r="I66" s="522">
        <f>+' Exhibit I State'!I65+'Exhibit I Federal'!I47</f>
        <v>6.9</v>
      </c>
      <c r="J66" s="265"/>
      <c r="K66" s="522">
        <f>+' Exhibit I State'!K65+'Exhibit I Federal'!K47</f>
        <v>9</v>
      </c>
      <c r="L66" s="265"/>
      <c r="M66" s="522">
        <f>+' Exhibit I State'!M65+'Exhibit I Federal'!M47</f>
        <v>4.2</v>
      </c>
      <c r="N66" s="265"/>
      <c r="O66" s="522">
        <f>+' Exhibit I State'!O65+'Exhibit I Federal'!O47</f>
        <v>5.6</v>
      </c>
      <c r="P66" s="265"/>
      <c r="Q66" s="522">
        <f>+' Exhibit I State'!Q65+'Exhibit I Federal'!Q47</f>
        <v>8.6</v>
      </c>
      <c r="R66" s="265"/>
      <c r="S66" s="522"/>
      <c r="T66" s="265"/>
      <c r="U66" s="522"/>
      <c r="V66" s="265"/>
      <c r="X66" s="265"/>
      <c r="Y66" s="522"/>
      <c r="Z66" s="265"/>
      <c r="AA66" s="377"/>
      <c r="AB66" s="265"/>
      <c r="AC66" s="254"/>
      <c r="AD66" s="265">
        <f t="shared" ref="AD66:AD73" si="2">ROUND(SUM(E66:AA66),1)</f>
        <v>40.700000000000003</v>
      </c>
      <c r="AE66" s="280"/>
      <c r="AF66" s="253"/>
      <c r="AG66" s="265">
        <f>' Exhibit I State'!AI65+'Exhibit I Federal'!AI47</f>
        <v>205.1</v>
      </c>
      <c r="AH66" s="278"/>
      <c r="AI66" s="671"/>
      <c r="AJ66" s="255">
        <f t="shared" ref="AJ66:AJ73" si="3">ROUND(SUM(+AD66-AG66),1)</f>
        <v>-164.4</v>
      </c>
      <c r="AK66" s="672"/>
      <c r="AL66" s="3234">
        <f>ROUND(IF(AG66=0,0,AJ66/(AG66)),3)</f>
        <v>-0.80200000000000005</v>
      </c>
    </row>
    <row r="67" spans="1:42" ht="15.75">
      <c r="A67" s="227"/>
      <c r="B67" s="227" t="s">
        <v>28</v>
      </c>
      <c r="C67" s="227"/>
      <c r="D67" s="227"/>
      <c r="E67" s="522">
        <f>+' Exhibit I State'!E66+'Exhibit I Federal'!E48</f>
        <v>1.2</v>
      </c>
      <c r="F67" s="265"/>
      <c r="G67" s="522">
        <f>+' Exhibit I State'!G66+'Exhibit I Federal'!G48</f>
        <v>0.3</v>
      </c>
      <c r="H67" s="265"/>
      <c r="I67" s="522">
        <f>+' Exhibit I State'!I66+'Exhibit I Federal'!I48</f>
        <v>2.6</v>
      </c>
      <c r="J67" s="265"/>
      <c r="K67" s="522">
        <f>+' Exhibit I State'!K66+'Exhibit I Federal'!K48</f>
        <v>1.7</v>
      </c>
      <c r="L67" s="265"/>
      <c r="M67" s="522">
        <f>+' Exhibit I State'!M66+'Exhibit I Federal'!M48</f>
        <v>2.2999999999999998</v>
      </c>
      <c r="N67" s="265"/>
      <c r="O67" s="522">
        <f>+' Exhibit I State'!O66+'Exhibit I Federal'!O48</f>
        <v>2.5</v>
      </c>
      <c r="P67" s="265"/>
      <c r="Q67" s="522">
        <f>+' Exhibit I State'!Q66+'Exhibit I Federal'!Q48</f>
        <v>16.899999999999999</v>
      </c>
      <c r="R67" s="265"/>
      <c r="S67" s="522"/>
      <c r="T67" s="265"/>
      <c r="U67" s="522"/>
      <c r="V67" s="265"/>
      <c r="X67" s="265"/>
      <c r="Y67" s="522"/>
      <c r="Z67" s="265"/>
      <c r="AA67" s="522"/>
      <c r="AB67" s="265"/>
      <c r="AC67" s="254"/>
      <c r="AD67" s="265">
        <f t="shared" si="2"/>
        <v>27.5</v>
      </c>
      <c r="AE67" s="280"/>
      <c r="AF67" s="253"/>
      <c r="AG67" s="265">
        <f>' Exhibit I State'!AI66+'Exhibit I Federal'!AI48</f>
        <v>30.8</v>
      </c>
      <c r="AH67" s="278"/>
      <c r="AI67" s="671"/>
      <c r="AJ67" s="255">
        <f t="shared" si="3"/>
        <v>-3.3</v>
      </c>
      <c r="AK67" s="672"/>
      <c r="AL67" s="3234">
        <f>ROUND(IF(AG67=0,0,AJ67/(AG67)),3)</f>
        <v>-0.107</v>
      </c>
      <c r="AM67" s="662"/>
    </row>
    <row r="68" spans="1:42" ht="15.75">
      <c r="A68" s="227"/>
      <c r="B68" s="227" t="s">
        <v>29</v>
      </c>
      <c r="C68" s="227"/>
      <c r="D68" s="227"/>
      <c r="E68" s="522"/>
      <c r="F68" s="265"/>
      <c r="G68" s="522"/>
      <c r="H68" s="265"/>
      <c r="I68" s="522"/>
      <c r="J68" s="265"/>
      <c r="K68" s="522"/>
      <c r="L68" s="265"/>
      <c r="M68" s="522"/>
      <c r="N68" s="265"/>
      <c r="O68" s="522"/>
      <c r="P68" s="265"/>
      <c r="Q68" s="522"/>
      <c r="R68" s="265"/>
      <c r="S68" s="522"/>
      <c r="T68" s="265"/>
      <c r="U68" s="522"/>
      <c r="V68" s="265"/>
      <c r="X68" s="265"/>
      <c r="Y68" s="522"/>
      <c r="Z68" s="265"/>
      <c r="AA68" s="522"/>
      <c r="AB68" s="265"/>
      <c r="AC68" s="254"/>
      <c r="AD68" s="1214" t="s">
        <v>16</v>
      </c>
      <c r="AE68" s="280"/>
      <c r="AF68" s="253"/>
      <c r="AG68" s="270"/>
      <c r="AH68" s="265"/>
      <c r="AI68" s="673"/>
      <c r="AJ68" s="255" t="s">
        <v>16</v>
      </c>
      <c r="AK68" s="672"/>
      <c r="AL68" s="678" t="s">
        <v>16</v>
      </c>
      <c r="AM68" s="662"/>
    </row>
    <row r="69" spans="1:42" ht="15.75">
      <c r="A69" s="227"/>
      <c r="B69" s="227" t="s">
        <v>30</v>
      </c>
      <c r="C69" s="225"/>
      <c r="D69" s="227"/>
      <c r="E69" s="522">
        <f>+' Exhibit I State'!E68+'Exhibit I Federal'!E50</f>
        <v>0</v>
      </c>
      <c r="F69" s="265"/>
      <c r="G69" s="522">
        <f>+' Exhibit I State'!G68+'Exhibit I Federal'!G50</f>
        <v>0</v>
      </c>
      <c r="H69" s="265"/>
      <c r="I69" s="522">
        <f>+' Exhibit I State'!I68+'Exhibit I Federal'!I50</f>
        <v>0</v>
      </c>
      <c r="J69" s="265"/>
      <c r="K69" s="522">
        <f>+' Exhibit I State'!K68+'Exhibit I Federal'!K50</f>
        <v>0</v>
      </c>
      <c r="L69" s="265"/>
      <c r="M69" s="522">
        <f>+' Exhibit I State'!M68+'Exhibit I Federal'!M50</f>
        <v>0</v>
      </c>
      <c r="N69" s="265"/>
      <c r="O69" s="522">
        <f>+' Exhibit I State'!O68+'Exhibit I Federal'!O50</f>
        <v>0</v>
      </c>
      <c r="P69" s="265"/>
      <c r="Q69" s="522">
        <f>+' Exhibit I State'!Q68+'Exhibit I Federal'!Q50</f>
        <v>0</v>
      </c>
      <c r="R69" s="265"/>
      <c r="S69" s="377"/>
      <c r="T69" s="265"/>
      <c r="U69" s="377"/>
      <c r="V69" s="265"/>
      <c r="W69" s="1156"/>
      <c r="X69" s="265"/>
      <c r="Y69" s="522"/>
      <c r="Z69" s="265"/>
      <c r="AA69" s="522"/>
      <c r="AB69" s="265"/>
      <c r="AC69" s="254"/>
      <c r="AD69" s="265">
        <f t="shared" si="2"/>
        <v>0</v>
      </c>
      <c r="AE69" s="280"/>
      <c r="AF69" s="253"/>
      <c r="AG69" s="270">
        <f>' Exhibit I State'!AI68+'Exhibit I Federal'!AI50</f>
        <v>0</v>
      </c>
      <c r="AH69" s="265"/>
      <c r="AI69" s="673"/>
      <c r="AJ69" s="255">
        <f t="shared" si="3"/>
        <v>0</v>
      </c>
      <c r="AK69" s="672"/>
      <c r="AL69" s="45">
        <f t="shared" ref="AL69:AL74" si="4">ROUND(IF(AG69=0,0,AJ69/(AG69)),3)</f>
        <v>0</v>
      </c>
      <c r="AM69" s="662"/>
    </row>
    <row r="70" spans="1:42" ht="15.75">
      <c r="A70" s="227"/>
      <c r="B70" s="227" t="s">
        <v>31</v>
      </c>
      <c r="C70" s="227"/>
      <c r="D70" s="227"/>
      <c r="E70" s="522">
        <f>+' Exhibit I State'!E69+'Exhibit I Federal'!E51</f>
        <v>4.9000000000000004</v>
      </c>
      <c r="F70" s="265"/>
      <c r="G70" s="522">
        <f>+' Exhibit I State'!G69+'Exhibit I Federal'!G51</f>
        <v>1.7</v>
      </c>
      <c r="H70" s="265"/>
      <c r="I70" s="522">
        <f>+' Exhibit I State'!I69+'Exhibit I Federal'!I51</f>
        <v>5.5</v>
      </c>
      <c r="J70" s="265"/>
      <c r="K70" s="522">
        <f>+' Exhibit I State'!K69+'Exhibit I Federal'!K51</f>
        <v>6.9</v>
      </c>
      <c r="L70" s="265"/>
      <c r="M70" s="522">
        <f>+' Exhibit I State'!M69+'Exhibit I Federal'!M51</f>
        <v>5.6</v>
      </c>
      <c r="N70" s="265"/>
      <c r="O70" s="522">
        <f>+' Exhibit I State'!O69+'Exhibit I Federal'!O51</f>
        <v>29.3</v>
      </c>
      <c r="P70" s="265"/>
      <c r="Q70" s="522">
        <f>+' Exhibit I State'!Q69+'Exhibit I Federal'!Q51</f>
        <v>6.5</v>
      </c>
      <c r="R70" s="265"/>
      <c r="S70" s="522"/>
      <c r="T70" s="265"/>
      <c r="U70" s="522"/>
      <c r="V70" s="265"/>
      <c r="X70" s="265"/>
      <c r="Y70" s="522"/>
      <c r="Z70" s="265"/>
      <c r="AA70" s="377"/>
      <c r="AB70" s="265"/>
      <c r="AC70" s="254"/>
      <c r="AD70" s="265">
        <f t="shared" si="2"/>
        <v>60.4</v>
      </c>
      <c r="AE70" s="280"/>
      <c r="AF70" s="253"/>
      <c r="AG70" s="270">
        <f>' Exhibit I State'!AI69+'Exhibit I Federal'!AI51</f>
        <v>138.20000000000002</v>
      </c>
      <c r="AH70" s="278"/>
      <c r="AI70" s="671"/>
      <c r="AJ70" s="255">
        <f t="shared" si="3"/>
        <v>-77.8</v>
      </c>
      <c r="AK70" s="672"/>
      <c r="AL70" s="45">
        <f t="shared" si="4"/>
        <v>-0.56299999999999994</v>
      </c>
    </row>
    <row r="71" spans="1:42" ht="15.75">
      <c r="A71" s="227"/>
      <c r="B71" s="227" t="s">
        <v>32</v>
      </c>
      <c r="C71" s="227"/>
      <c r="D71" s="227"/>
      <c r="E71" s="522">
        <f>+' Exhibit I State'!E70+'Exhibit I Federal'!E52</f>
        <v>0</v>
      </c>
      <c r="F71" s="265"/>
      <c r="G71" s="522">
        <f>+' Exhibit I State'!G70+'Exhibit I Federal'!G52</f>
        <v>0</v>
      </c>
      <c r="H71" s="265"/>
      <c r="I71" s="522">
        <f>+' Exhibit I State'!I70+'Exhibit I Federal'!I52</f>
        <v>0</v>
      </c>
      <c r="J71" s="265"/>
      <c r="K71" s="522">
        <f>+' Exhibit I State'!K70+'Exhibit I Federal'!K52</f>
        <v>0</v>
      </c>
      <c r="L71" s="265"/>
      <c r="M71" s="522">
        <f>+' Exhibit I State'!M70+'Exhibit I Federal'!M52</f>
        <v>0</v>
      </c>
      <c r="N71" s="265"/>
      <c r="O71" s="522">
        <f>+' Exhibit I State'!O70+'Exhibit I Federal'!O52</f>
        <v>0</v>
      </c>
      <c r="P71" s="265"/>
      <c r="Q71" s="522">
        <f>+' Exhibit I State'!Q70+'Exhibit I Federal'!Q52</f>
        <v>0</v>
      </c>
      <c r="R71" s="265"/>
      <c r="S71" s="377"/>
      <c r="T71" s="265"/>
      <c r="U71" s="377"/>
      <c r="V71" s="265"/>
      <c r="W71" s="1156"/>
      <c r="X71" s="265"/>
      <c r="Y71" s="522"/>
      <c r="Z71" s="265"/>
      <c r="AA71" s="522"/>
      <c r="AB71" s="265"/>
      <c r="AC71" s="254"/>
      <c r="AD71" s="265">
        <f t="shared" si="2"/>
        <v>0</v>
      </c>
      <c r="AE71" s="280"/>
      <c r="AF71" s="253"/>
      <c r="AG71" s="270">
        <f>' Exhibit I State'!AI70+'Exhibit I Federal'!AI52</f>
        <v>0</v>
      </c>
      <c r="AH71" s="278"/>
      <c r="AI71" s="671"/>
      <c r="AJ71" s="255">
        <f t="shared" si="3"/>
        <v>0</v>
      </c>
      <c r="AK71" s="672"/>
      <c r="AL71" s="45">
        <f t="shared" si="4"/>
        <v>0</v>
      </c>
      <c r="AM71" s="662"/>
    </row>
    <row r="72" spans="1:42" ht="15.75">
      <c r="A72" s="227"/>
      <c r="B72" s="227" t="s">
        <v>33</v>
      </c>
      <c r="C72" s="227"/>
      <c r="D72" s="227"/>
      <c r="E72" s="522">
        <f>+' Exhibit I State'!E71+'Exhibit I Federal'!E53</f>
        <v>0</v>
      </c>
      <c r="F72" s="265"/>
      <c r="G72" s="522">
        <f>+' Exhibit I State'!G71+'Exhibit I Federal'!G53</f>
        <v>5.5</v>
      </c>
      <c r="H72" s="265"/>
      <c r="I72" s="522">
        <f>+' Exhibit I State'!I71+'Exhibit I Federal'!I53</f>
        <v>20.3</v>
      </c>
      <c r="J72" s="265"/>
      <c r="K72" s="522">
        <f>+' Exhibit I State'!K71+'Exhibit I Federal'!K53</f>
        <v>13.9</v>
      </c>
      <c r="L72" s="265"/>
      <c r="M72" s="522">
        <f>+' Exhibit I State'!M71+'Exhibit I Federal'!M53</f>
        <v>0</v>
      </c>
      <c r="N72" s="265"/>
      <c r="O72" s="522">
        <f>+' Exhibit I State'!O71+'Exhibit I Federal'!O53</f>
        <v>0</v>
      </c>
      <c r="P72" s="265"/>
      <c r="Q72" s="522">
        <f>+' Exhibit I State'!Q71+'Exhibit I Federal'!Q53</f>
        <v>7.5</v>
      </c>
      <c r="R72" s="265"/>
      <c r="S72" s="377"/>
      <c r="T72" s="265"/>
      <c r="U72" s="522"/>
      <c r="V72" s="265"/>
      <c r="X72" s="265"/>
      <c r="Y72" s="522"/>
      <c r="Z72" s="265"/>
      <c r="AA72" s="522"/>
      <c r="AB72" s="265"/>
      <c r="AC72" s="254"/>
      <c r="AD72" s="265">
        <f t="shared" si="2"/>
        <v>47.2</v>
      </c>
      <c r="AE72" s="280"/>
      <c r="AF72" s="253"/>
      <c r="AG72" s="270">
        <f>' Exhibit I State'!AI71+'Exhibit I Federal'!AI53</f>
        <v>80</v>
      </c>
      <c r="AH72" s="265"/>
      <c r="AI72" s="673"/>
      <c r="AJ72" s="255">
        <f t="shared" si="3"/>
        <v>-32.799999999999997</v>
      </c>
      <c r="AK72" s="672"/>
      <c r="AL72" s="45">
        <f t="shared" si="4"/>
        <v>-0.41</v>
      </c>
      <c r="AM72" s="662"/>
    </row>
    <row r="73" spans="1:42" ht="15.75">
      <c r="A73" s="227"/>
      <c r="B73" s="227" t="s">
        <v>34</v>
      </c>
      <c r="C73" s="225"/>
      <c r="D73" s="227"/>
      <c r="E73" s="522">
        <f>+' Exhibit I State'!E72+'Exhibit I Federal'!E54</f>
        <v>4</v>
      </c>
      <c r="F73" s="265"/>
      <c r="G73" s="522">
        <f>+' Exhibit I State'!G72+'Exhibit I Federal'!G54</f>
        <v>2</v>
      </c>
      <c r="H73" s="265"/>
      <c r="I73" s="522">
        <f>+' Exhibit I State'!I72+'Exhibit I Federal'!I54</f>
        <v>4.3</v>
      </c>
      <c r="J73" s="265"/>
      <c r="K73" s="522">
        <f>+' Exhibit I State'!K72+'Exhibit I Federal'!K54</f>
        <v>36.299999999999997</v>
      </c>
      <c r="L73" s="265"/>
      <c r="M73" s="522">
        <f>+' Exhibit I State'!M72+'Exhibit I Federal'!M54</f>
        <v>5.5</v>
      </c>
      <c r="N73" s="265"/>
      <c r="O73" s="522">
        <f>+' Exhibit I State'!O72+'Exhibit I Federal'!O54</f>
        <v>9.6</v>
      </c>
      <c r="P73" s="265"/>
      <c r="Q73" s="522">
        <f>+' Exhibit I State'!Q72+'Exhibit I Federal'!Q54</f>
        <v>18.5</v>
      </c>
      <c r="R73" s="265"/>
      <c r="S73" s="522"/>
      <c r="T73" s="265"/>
      <c r="U73" s="522"/>
      <c r="V73" s="265"/>
      <c r="X73" s="265"/>
      <c r="Y73" s="522"/>
      <c r="Z73" s="265"/>
      <c r="AA73" s="522"/>
      <c r="AB73" s="265"/>
      <c r="AC73" s="254"/>
      <c r="AD73" s="265">
        <f t="shared" si="2"/>
        <v>80.2</v>
      </c>
      <c r="AE73" s="280"/>
      <c r="AF73" s="253"/>
      <c r="AG73" s="270">
        <f>' Exhibit I State'!AI72+'Exhibit I Federal'!AI54</f>
        <v>239.8</v>
      </c>
      <c r="AH73" s="265"/>
      <c r="AI73" s="673"/>
      <c r="AJ73" s="255">
        <f t="shared" si="3"/>
        <v>-159.6</v>
      </c>
      <c r="AK73" s="672"/>
      <c r="AL73" s="45">
        <f t="shared" si="4"/>
        <v>-0.66600000000000004</v>
      </c>
      <c r="AM73" s="662"/>
    </row>
    <row r="74" spans="1:42" ht="15.75">
      <c r="A74" s="227"/>
      <c r="B74" s="227" t="s">
        <v>35</v>
      </c>
      <c r="C74" s="227"/>
      <c r="D74" s="227"/>
      <c r="E74" s="522">
        <f>+' Exhibit I State'!E73+'Exhibit I Federal'!E55</f>
        <v>55.7</v>
      </c>
      <c r="F74" s="265"/>
      <c r="G74" s="522">
        <f>+' Exhibit I State'!G73+'Exhibit I Federal'!G55</f>
        <v>31.8</v>
      </c>
      <c r="H74" s="265"/>
      <c r="I74" s="522">
        <f>+' Exhibit I State'!I73+'Exhibit I Federal'!I55</f>
        <v>104.4</v>
      </c>
      <c r="J74" s="265"/>
      <c r="K74" s="522">
        <f>+' Exhibit I State'!K73+'Exhibit I Federal'!K55</f>
        <v>32</v>
      </c>
      <c r="L74" s="265"/>
      <c r="M74" s="522">
        <f>+' Exhibit I State'!M73+'Exhibit I Federal'!M55</f>
        <v>28.700000000000003</v>
      </c>
      <c r="N74" s="265"/>
      <c r="O74" s="522">
        <f>+' Exhibit I State'!O73+'Exhibit I Federal'!O55</f>
        <v>147.1</v>
      </c>
      <c r="P74" s="265"/>
      <c r="Q74" s="522">
        <f>+' Exhibit I State'!Q73+'Exhibit I Federal'!Q55</f>
        <v>53.599999999999994</v>
      </c>
      <c r="R74" s="265"/>
      <c r="S74" s="522"/>
      <c r="T74" s="265"/>
      <c r="U74" s="522"/>
      <c r="V74" s="265"/>
      <c r="X74" s="265"/>
      <c r="Y74" s="522"/>
      <c r="Z74" s="265"/>
      <c r="AA74" s="284"/>
      <c r="AB74" s="265"/>
      <c r="AC74" s="254"/>
      <c r="AD74" s="265">
        <f>ROUND(SUM(E74:AA74),1)</f>
        <v>453.3</v>
      </c>
      <c r="AE74" s="280"/>
      <c r="AF74" s="253"/>
      <c r="AG74" s="1984">
        <f>' Exhibit I State'!AI73+'Exhibit I Federal'!AI55</f>
        <v>501.29999999999995</v>
      </c>
      <c r="AH74" s="253"/>
      <c r="AI74" s="673"/>
      <c r="AJ74" s="255">
        <f>ROUND(SUM(+AD74-AG74),1)</f>
        <v>-48</v>
      </c>
      <c r="AK74" s="662"/>
      <c r="AL74" s="2004">
        <f t="shared" si="4"/>
        <v>-9.6000000000000002E-2</v>
      </c>
      <c r="AM74" s="662"/>
    </row>
    <row r="75" spans="1:42" ht="15.75">
      <c r="A75" s="227"/>
      <c r="B75" s="225" t="s">
        <v>209</v>
      </c>
      <c r="C75" s="227"/>
      <c r="D75" s="227"/>
      <c r="E75" s="550">
        <f>ROUND(SUM(E65:E74),1)</f>
        <v>68.599999999999994</v>
      </c>
      <c r="F75" s="261"/>
      <c r="G75" s="550">
        <f>ROUND(SUM(G65:G74),1)</f>
        <v>45.6</v>
      </c>
      <c r="H75" s="261"/>
      <c r="I75" s="550">
        <f>ROUND(SUM(I65:I74),1)</f>
        <v>144.19999999999999</v>
      </c>
      <c r="J75" s="277"/>
      <c r="K75" s="550">
        <f>ROUND(SUM(K65:K74),1)</f>
        <v>112.9</v>
      </c>
      <c r="L75" s="277"/>
      <c r="M75" s="550">
        <f>ROUND(SUM(M65:M74),1)</f>
        <v>47.3</v>
      </c>
      <c r="N75" s="277"/>
      <c r="O75" s="550">
        <f>ROUND(SUM(O65:O74),1)</f>
        <v>194.4</v>
      </c>
      <c r="P75" s="261"/>
      <c r="Q75" s="550">
        <f>ROUND(SUM(Q65:Q74),1)</f>
        <v>112.5</v>
      </c>
      <c r="R75" s="261"/>
      <c r="S75" s="550">
        <f>ROUND(SUM(S65:S74),1)</f>
        <v>0</v>
      </c>
      <c r="T75" s="261"/>
      <c r="U75" s="550">
        <f>ROUND(SUM(U65:U74),1)</f>
        <v>0</v>
      </c>
      <c r="V75" s="261"/>
      <c r="W75" s="550">
        <f>ROUND(SUM(W65:W74),1)</f>
        <v>0</v>
      </c>
      <c r="X75" s="261"/>
      <c r="Y75" s="550">
        <f>ROUND(SUM(Y65:Y74),1)</f>
        <v>0</v>
      </c>
      <c r="Z75" s="261"/>
      <c r="AA75" s="550">
        <f>ROUND(SUM(AA65:AA74),1)</f>
        <v>0</v>
      </c>
      <c r="AB75" s="261"/>
      <c r="AC75" s="263"/>
      <c r="AD75" s="550">
        <f>ROUND(SUM(AD65:AD74),1)</f>
        <v>725.5</v>
      </c>
      <c r="AE75" s="426"/>
      <c r="AF75" s="277"/>
      <c r="AG75" s="550">
        <f>ROUND(SUM(AG65:AG74),1)</f>
        <v>1217.7</v>
      </c>
      <c r="AH75" s="277"/>
      <c r="AI75" s="673"/>
      <c r="AJ75" s="550">
        <f>ROUND(SUM(AJ65:AJ74),1)</f>
        <v>-492.2</v>
      </c>
      <c r="AK75" s="680"/>
      <c r="AL75" s="2000">
        <f>ROUND(SUM(AJ75/AG75),3)</f>
        <v>-0.40400000000000003</v>
      </c>
      <c r="AM75" s="667"/>
      <c r="AN75" s="677"/>
      <c r="AO75" s="667"/>
      <c r="AP75" s="667"/>
    </row>
    <row r="76" spans="1:42" ht="15.75">
      <c r="A76" s="227"/>
      <c r="B76" s="227" t="s">
        <v>210</v>
      </c>
      <c r="C76" s="227"/>
      <c r="D76" s="227"/>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54"/>
      <c r="AD76" s="265"/>
      <c r="AE76" s="280"/>
      <c r="AF76" s="253"/>
      <c r="AG76" s="265"/>
      <c r="AH76" s="265"/>
      <c r="AI76" s="673"/>
      <c r="AJ76" s="255"/>
      <c r="AK76" s="662"/>
      <c r="AL76" s="670"/>
    </row>
    <row r="77" spans="1:42" ht="15.75">
      <c r="A77" s="227"/>
      <c r="B77" s="227" t="s">
        <v>211</v>
      </c>
      <c r="C77" s="227"/>
      <c r="D77" s="227"/>
      <c r="E77" s="522">
        <f>+' Exhibit I State'!E76+'Exhibit I Federal'!E58</f>
        <v>0</v>
      </c>
      <c r="F77" s="265"/>
      <c r="G77" s="377">
        <f>+' Exhibit I State'!G76+'Exhibit I Federal'!G58</f>
        <v>0</v>
      </c>
      <c r="H77" s="265"/>
      <c r="I77" s="377">
        <v>0</v>
      </c>
      <c r="J77" s="265"/>
      <c r="K77" s="377">
        <v>0</v>
      </c>
      <c r="L77" s="265"/>
      <c r="M77" s="377">
        <v>0</v>
      </c>
      <c r="N77" s="265"/>
      <c r="O77" s="377">
        <v>0</v>
      </c>
      <c r="P77" s="265"/>
      <c r="Q77" s="377">
        <v>0</v>
      </c>
      <c r="R77" s="265"/>
      <c r="S77" s="377"/>
      <c r="T77" s="265"/>
      <c r="U77" s="377"/>
      <c r="V77" s="265"/>
      <c r="W77" s="1156"/>
      <c r="X77" s="265"/>
      <c r="Y77" s="377"/>
      <c r="Z77" s="265"/>
      <c r="AA77" s="377"/>
      <c r="AB77" s="265"/>
      <c r="AC77" s="254"/>
      <c r="AD77" s="278">
        <f>ROUND(SUM(E77:AA77),1)</f>
        <v>0</v>
      </c>
      <c r="AE77" s="280"/>
      <c r="AF77" s="253"/>
      <c r="AG77" s="377">
        <f>' Exhibit I State'!AI76+'Exhibit I Federal'!AI58</f>
        <v>0</v>
      </c>
      <c r="AH77" s="270"/>
      <c r="AI77" s="682"/>
      <c r="AJ77" s="679">
        <f>ROUND(SUM(+AD77-AG77),1)</f>
        <v>0</v>
      </c>
      <c r="AK77" s="662"/>
      <c r="AL77" s="45">
        <f>ROUND(IF(AG77=0,0,AJ77/(AG77)),3)</f>
        <v>0</v>
      </c>
    </row>
    <row r="78" spans="1:42" ht="15.75">
      <c r="A78" s="227"/>
      <c r="B78" s="227" t="s">
        <v>212</v>
      </c>
      <c r="C78" s="227"/>
      <c r="D78" s="227"/>
      <c r="E78" s="522">
        <f>+' Exhibit I State'!E77+'Exhibit I Federal'!E59</f>
        <v>0</v>
      </c>
      <c r="F78" s="265"/>
      <c r="G78" s="377">
        <f>+' Exhibit I State'!G77+'Exhibit I Federal'!G59</f>
        <v>0</v>
      </c>
      <c r="H78" s="265"/>
      <c r="I78" s="377">
        <v>0</v>
      </c>
      <c r="J78" s="265"/>
      <c r="K78" s="377">
        <v>0</v>
      </c>
      <c r="L78" s="265"/>
      <c r="M78" s="377">
        <v>0</v>
      </c>
      <c r="N78" s="265"/>
      <c r="O78" s="377">
        <v>0</v>
      </c>
      <c r="P78" s="265"/>
      <c r="Q78" s="377">
        <v>0</v>
      </c>
      <c r="R78" s="265"/>
      <c r="S78" s="377"/>
      <c r="T78" s="265"/>
      <c r="U78" s="377"/>
      <c r="V78" s="265"/>
      <c r="W78" s="1156"/>
      <c r="X78" s="265"/>
      <c r="Y78" s="377"/>
      <c r="Z78" s="265"/>
      <c r="AA78" s="377"/>
      <c r="AB78" s="265"/>
      <c r="AC78" s="254"/>
      <c r="AD78" s="278">
        <f>ROUND(SUM(E78:AA78),1)</f>
        <v>0</v>
      </c>
      <c r="AE78" s="280"/>
      <c r="AF78" s="253"/>
      <c r="AG78" s="377">
        <f>' Exhibit I State'!AI77+'Exhibit I Federal'!AI59</f>
        <v>0</v>
      </c>
      <c r="AH78" s="270"/>
      <c r="AI78" s="682"/>
      <c r="AJ78" s="679">
        <f>ROUND(SUM(+AD78-AG78),1)</f>
        <v>0</v>
      </c>
      <c r="AK78" s="662"/>
      <c r="AL78" s="45">
        <f>ROUND(IF(AG78=0,0,AJ78/(AG78)),3)</f>
        <v>0</v>
      </c>
    </row>
    <row r="79" spans="1:42" ht="15.75">
      <c r="A79" s="227"/>
      <c r="B79" s="227" t="s">
        <v>213</v>
      </c>
      <c r="C79" s="227"/>
      <c r="D79" s="227"/>
      <c r="E79" s="522">
        <f>+' Exhibit I State'!E78+'Exhibit I Federal'!E60</f>
        <v>0</v>
      </c>
      <c r="F79" s="265"/>
      <c r="G79" s="377">
        <f>+' Exhibit I State'!G78+'Exhibit I Federal'!G60</f>
        <v>0</v>
      </c>
      <c r="H79" s="265"/>
      <c r="I79" s="377">
        <v>0</v>
      </c>
      <c r="J79" s="265"/>
      <c r="K79" s="377">
        <v>0</v>
      </c>
      <c r="L79" s="265"/>
      <c r="M79" s="377">
        <v>0</v>
      </c>
      <c r="N79" s="265"/>
      <c r="O79" s="377">
        <v>0</v>
      </c>
      <c r="P79" s="265"/>
      <c r="Q79" s="377">
        <v>0</v>
      </c>
      <c r="R79" s="265"/>
      <c r="S79" s="377"/>
      <c r="T79" s="265"/>
      <c r="U79" s="377"/>
      <c r="V79" s="265"/>
      <c r="W79" s="1156"/>
      <c r="X79" s="265"/>
      <c r="Y79" s="377"/>
      <c r="Z79" s="683"/>
      <c r="AA79" s="377"/>
      <c r="AB79" s="683"/>
      <c r="AC79" s="684"/>
      <c r="AD79" s="278">
        <f>ROUND(SUM(E79:AA79),1)</f>
        <v>0</v>
      </c>
      <c r="AE79" s="280"/>
      <c r="AF79" s="253"/>
      <c r="AG79" s="377">
        <f>' Exhibit I State'!AI78+'Exhibit I Federal'!AI60</f>
        <v>0</v>
      </c>
      <c r="AH79" s="270"/>
      <c r="AI79" s="682"/>
      <c r="AJ79" s="679">
        <f>ROUND(SUM(+AD79-AG79),1)</f>
        <v>0</v>
      </c>
      <c r="AK79" s="662"/>
      <c r="AL79" s="45">
        <f>ROUND(IF(AG79=0,0,AJ79/(AG79)),3)</f>
        <v>0</v>
      </c>
    </row>
    <row r="80" spans="1:42" ht="15.75">
      <c r="A80" s="227"/>
      <c r="B80" s="251" t="s">
        <v>181</v>
      </c>
      <c r="C80" s="227"/>
      <c r="D80" s="227"/>
      <c r="E80" s="522">
        <f>+' Exhibit I State'!E79+'Exhibit I Federal'!E61</f>
        <v>295.7</v>
      </c>
      <c r="F80" s="265"/>
      <c r="G80" s="377">
        <f>+' Exhibit I State'!G79+'Exhibit I Federal'!G61</f>
        <v>340.5</v>
      </c>
      <c r="H80" s="377"/>
      <c r="I80" s="377">
        <f>+' Exhibit I State'!I79+'Exhibit I Federal'!I61</f>
        <v>523.1</v>
      </c>
      <c r="J80" s="377">
        <f>+' Exhibit I State'!J79+'Exhibit I Federal'!J61</f>
        <v>0</v>
      </c>
      <c r="K80" s="377">
        <f>+' Exhibit I State'!K79+'Exhibit I Federal'!K61</f>
        <v>475</v>
      </c>
      <c r="L80" s="265"/>
      <c r="M80" s="377">
        <f>+' Exhibit I State'!M79+'Exhibit I Federal'!M61</f>
        <v>490.3</v>
      </c>
      <c r="N80" s="265"/>
      <c r="O80" s="377">
        <f>+' Exhibit I State'!O79+'Exhibit I Federal'!O61</f>
        <v>538</v>
      </c>
      <c r="P80" s="265"/>
      <c r="Q80" s="269">
        <f>+' Exhibit I State'!Q79+'Exhibit I Federal'!Q61</f>
        <v>477.2</v>
      </c>
      <c r="R80" s="265"/>
      <c r="S80" s="284"/>
      <c r="T80" s="265"/>
      <c r="U80" s="284"/>
      <c r="V80" s="265"/>
      <c r="X80" s="265"/>
      <c r="Y80" s="284"/>
      <c r="Z80" s="265"/>
      <c r="AA80" s="284"/>
      <c r="AB80" s="265"/>
      <c r="AC80" s="254"/>
      <c r="AD80" s="278">
        <f>ROUND(SUM(E80:AA80),1)</f>
        <v>3139.8</v>
      </c>
      <c r="AE80" s="280"/>
      <c r="AF80" s="253"/>
      <c r="AG80" s="2039">
        <f>' Exhibit I State'!AI79+'Exhibit I Federal'!AI61</f>
        <v>3301.2</v>
      </c>
      <c r="AH80" s="279"/>
      <c r="AI80" s="671"/>
      <c r="AJ80" s="675">
        <f>ROUND(SUM(+AD80-AG80),1)</f>
        <v>-161.4</v>
      </c>
      <c r="AK80" s="662"/>
      <c r="AL80" s="2004">
        <f>ROUND(IF(AG80=0,0,AJ80/(AG80)),3)</f>
        <v>-4.9000000000000002E-2</v>
      </c>
    </row>
    <row r="81" spans="1:49" ht="15.75">
      <c r="A81" s="227"/>
      <c r="B81" s="227"/>
      <c r="C81" s="227"/>
      <c r="D81" s="227"/>
      <c r="E81" s="293"/>
      <c r="F81" s="265"/>
      <c r="G81" s="293"/>
      <c r="H81" s="265"/>
      <c r="I81" s="293"/>
      <c r="J81" s="265"/>
      <c r="K81" s="293"/>
      <c r="L81" s="265"/>
      <c r="M81" s="293"/>
      <c r="N81" s="265"/>
      <c r="O81" s="293"/>
      <c r="P81" s="265"/>
      <c r="Q81" s="293"/>
      <c r="R81" s="265"/>
      <c r="S81" s="293"/>
      <c r="T81" s="265"/>
      <c r="U81" s="293"/>
      <c r="V81" s="265"/>
      <c r="W81" s="293"/>
      <c r="X81" s="265"/>
      <c r="Y81" s="293"/>
      <c r="Z81" s="265"/>
      <c r="AA81" s="293"/>
      <c r="AB81" s="265"/>
      <c r="AC81" s="254"/>
      <c r="AD81" s="293"/>
      <c r="AE81" s="280"/>
      <c r="AF81" s="253"/>
      <c r="AG81" s="255"/>
      <c r="AH81" s="255"/>
      <c r="AI81" s="685"/>
      <c r="AJ81" s="255"/>
      <c r="AK81" s="662"/>
      <c r="AL81" s="670"/>
    </row>
    <row r="82" spans="1:49" ht="15.75">
      <c r="A82" s="227"/>
      <c r="B82" s="225" t="s">
        <v>214</v>
      </c>
      <c r="C82" s="227"/>
      <c r="D82" s="227"/>
      <c r="E82" s="261">
        <f>ROUND(SUM(+E80+E75),1)</f>
        <v>364.3</v>
      </c>
      <c r="F82" s="261"/>
      <c r="G82" s="261">
        <f>ROUND(SUM(+G80+G75),1)</f>
        <v>386.1</v>
      </c>
      <c r="H82" s="261"/>
      <c r="I82" s="261">
        <f>ROUND(SUM(+I80+I75),1)</f>
        <v>667.3</v>
      </c>
      <c r="J82" s="261"/>
      <c r="K82" s="261">
        <f>ROUND(SUM(+K80+K75),1)</f>
        <v>587.9</v>
      </c>
      <c r="L82" s="261"/>
      <c r="M82" s="2154">
        <f>ROUND(SUM(+M80+M75),1)</f>
        <v>537.6</v>
      </c>
      <c r="N82" s="261"/>
      <c r="O82" s="261">
        <f>ROUND(SUM(+O80+O75),1)</f>
        <v>732.4</v>
      </c>
      <c r="P82" s="261"/>
      <c r="Q82" s="261">
        <f>ROUND(SUM(+Q80+Q75),1)</f>
        <v>589.70000000000005</v>
      </c>
      <c r="R82" s="261"/>
      <c r="S82" s="261">
        <f>ROUND(SUM(+S80+S75),1)</f>
        <v>0</v>
      </c>
      <c r="T82" s="261"/>
      <c r="U82" s="261">
        <f>ROUND(SUM(+U80+U75),1)</f>
        <v>0</v>
      </c>
      <c r="V82" s="261"/>
      <c r="W82" s="261">
        <f>ROUND(SUM(+W80+W75),1)</f>
        <v>0</v>
      </c>
      <c r="X82" s="261"/>
      <c r="Y82" s="261">
        <f>ROUND(SUM(+Y80+Y75),1)</f>
        <v>0</v>
      </c>
      <c r="Z82" s="261"/>
      <c r="AA82" s="261">
        <f>ROUND(SUM(+AA80+AA75),1)</f>
        <v>0</v>
      </c>
      <c r="AB82" s="261"/>
      <c r="AC82" s="263"/>
      <c r="AD82" s="261">
        <f>ROUND(SUM(+AD80+AD75),1)</f>
        <v>3865.3</v>
      </c>
      <c r="AE82" s="426"/>
      <c r="AF82" s="277"/>
      <c r="AG82" s="261">
        <f>ROUND(SUM(+AG80+AG75),1)</f>
        <v>4518.8999999999996</v>
      </c>
      <c r="AH82" s="277"/>
      <c r="AI82" s="673"/>
      <c r="AJ82" s="275">
        <f>ROUND(SUM(AJ75+AJ80),1)</f>
        <v>-653.6</v>
      </c>
      <c r="AK82" s="680"/>
      <c r="AL82" s="560">
        <f>ROUND(SUM(AJ82/AG82),3)</f>
        <v>-0.14499999999999999</v>
      </c>
      <c r="AM82" s="667"/>
      <c r="AN82" s="677"/>
      <c r="AO82" s="667"/>
      <c r="AP82" s="667"/>
    </row>
    <row r="83" spans="1:49" ht="15.75">
      <c r="A83" s="227"/>
      <c r="B83" s="227"/>
      <c r="C83" s="227"/>
      <c r="D83" s="227"/>
      <c r="E83" s="293"/>
      <c r="F83" s="265"/>
      <c r="G83" s="293"/>
      <c r="H83" s="265"/>
      <c r="I83" s="293"/>
      <c r="J83" s="265"/>
      <c r="K83" s="293"/>
      <c r="L83" s="265"/>
      <c r="M83" s="293"/>
      <c r="N83" s="265"/>
      <c r="O83" s="293"/>
      <c r="P83" s="265"/>
      <c r="Q83" s="293"/>
      <c r="R83" s="265"/>
      <c r="S83" s="293"/>
      <c r="T83" s="265"/>
      <c r="U83" s="293"/>
      <c r="V83" s="265"/>
      <c r="W83" s="293"/>
      <c r="X83" s="265"/>
      <c r="Y83" s="293"/>
      <c r="Z83" s="265"/>
      <c r="AA83" s="293"/>
      <c r="AB83" s="265"/>
      <c r="AC83" s="254"/>
      <c r="AD83" s="293"/>
      <c r="AE83" s="280"/>
      <c r="AF83" s="253"/>
      <c r="AG83" s="293"/>
      <c r="AH83" s="253"/>
      <c r="AI83" s="673"/>
      <c r="AJ83" s="255"/>
      <c r="AK83" s="662"/>
      <c r="AL83" s="670"/>
    </row>
    <row r="84" spans="1:49" ht="15.75">
      <c r="A84" s="227"/>
      <c r="B84" s="225" t="s">
        <v>215</v>
      </c>
      <c r="C84" s="227"/>
      <c r="D84" s="227"/>
      <c r="E84" s="265"/>
      <c r="F84" s="265"/>
      <c r="G84" s="265"/>
      <c r="H84" s="265"/>
      <c r="I84" s="265"/>
      <c r="J84" s="265"/>
      <c r="K84" s="265"/>
      <c r="L84" s="265"/>
      <c r="M84" s="265"/>
      <c r="N84" s="265"/>
      <c r="O84" s="265"/>
      <c r="P84" s="265"/>
      <c r="Q84" s="265"/>
      <c r="R84" s="265"/>
      <c r="S84" s="265"/>
      <c r="T84" s="265"/>
      <c r="U84" s="377"/>
      <c r="V84" s="265"/>
      <c r="W84" s="377"/>
      <c r="X84" s="265"/>
      <c r="Y84" s="265"/>
      <c r="Z84" s="265"/>
      <c r="AA84" s="265"/>
      <c r="AB84" s="265"/>
      <c r="AC84" s="254"/>
      <c r="AD84" s="255"/>
      <c r="AE84" s="280"/>
      <c r="AF84" s="253"/>
      <c r="AG84" s="255"/>
      <c r="AH84" s="255"/>
      <c r="AI84" s="685"/>
      <c r="AJ84" s="255"/>
      <c r="AK84" s="662"/>
      <c r="AL84" s="670"/>
    </row>
    <row r="85" spans="1:49" ht="15.75">
      <c r="A85" s="227"/>
      <c r="B85" s="225" t="s">
        <v>216</v>
      </c>
      <c r="C85" s="227"/>
      <c r="D85" s="227"/>
      <c r="E85" s="261">
        <f>ROUND(SUM(E61-E82),1)</f>
        <v>54.1</v>
      </c>
      <c r="F85" s="261"/>
      <c r="G85" s="261">
        <f>ROUND(SUM(G61-G82),1)</f>
        <v>-21.7</v>
      </c>
      <c r="H85" s="261"/>
      <c r="I85" s="261">
        <f>ROUND(SUM(I61-I82),1)</f>
        <v>-197</v>
      </c>
      <c r="J85" s="261"/>
      <c r="K85" s="261">
        <f>ROUND(SUM(K61-K82),1)</f>
        <v>382.8</v>
      </c>
      <c r="L85" s="261"/>
      <c r="M85" s="2154">
        <f>ROUND(SUM(M61-M82),1)</f>
        <v>-182.7</v>
      </c>
      <c r="N85" s="261"/>
      <c r="O85" s="261">
        <f>ROUND(SUM(O61-O82),1)</f>
        <v>-163.5</v>
      </c>
      <c r="P85" s="261"/>
      <c r="Q85" s="261">
        <f>ROUND(SUM(Q61-Q82),1)</f>
        <v>-204.6</v>
      </c>
      <c r="R85" s="261"/>
      <c r="S85" s="261">
        <f>ROUND(SUM(S61-S82),1)</f>
        <v>0</v>
      </c>
      <c r="T85" s="261"/>
      <c r="U85" s="261">
        <f>ROUND(SUM(U61-U82),1)</f>
        <v>0</v>
      </c>
      <c r="V85" s="261"/>
      <c r="W85" s="261">
        <f>ROUND(SUM(W61-W82),1)</f>
        <v>0</v>
      </c>
      <c r="X85" s="261"/>
      <c r="Y85" s="261">
        <f>ROUND(SUM(Y61-Y82),1)</f>
        <v>0</v>
      </c>
      <c r="Z85" s="261"/>
      <c r="AA85" s="261">
        <f>ROUND(SUM(AA61-AA82),1)</f>
        <v>0</v>
      </c>
      <c r="AB85" s="261"/>
      <c r="AC85" s="263"/>
      <c r="AD85" s="261">
        <f>ROUND(SUM(AD61-AD82),1)</f>
        <v>-332.6</v>
      </c>
      <c r="AE85" s="426"/>
      <c r="AF85" s="277"/>
      <c r="AG85" s="261">
        <f>ROUND(SUM(AG61-AG82),1)</f>
        <v>-72.8</v>
      </c>
      <c r="AH85" s="277"/>
      <c r="AI85" s="673"/>
      <c r="AJ85" s="275">
        <f>ROUND(SUM(AJ61-AJ82),1)</f>
        <v>-259.8</v>
      </c>
      <c r="AK85" s="680"/>
      <c r="AL85" s="560">
        <f>ROUND(SUM(-AJ85/AG85),3)</f>
        <v>-3.569</v>
      </c>
      <c r="AM85" s="667"/>
      <c r="AN85" s="667"/>
      <c r="AO85" s="667"/>
      <c r="AP85" s="667"/>
    </row>
    <row r="86" spans="1:49" ht="15.75">
      <c r="A86" s="227"/>
      <c r="B86" s="227"/>
      <c r="C86" s="227"/>
      <c r="D86" s="227"/>
      <c r="E86" s="293"/>
      <c r="F86" s="265"/>
      <c r="G86" s="293"/>
      <c r="H86" s="265"/>
      <c r="I86" s="293"/>
      <c r="J86" s="265"/>
      <c r="K86" s="293"/>
      <c r="L86" s="265"/>
      <c r="M86" s="293"/>
      <c r="N86" s="265"/>
      <c r="O86" s="293"/>
      <c r="P86" s="265"/>
      <c r="Q86" s="293"/>
      <c r="R86" s="265"/>
      <c r="S86" s="293"/>
      <c r="T86" s="265"/>
      <c r="U86" s="293"/>
      <c r="V86" s="265"/>
      <c r="W86" s="293"/>
      <c r="X86" s="265"/>
      <c r="Y86" s="293"/>
      <c r="Z86" s="265"/>
      <c r="AA86" s="293"/>
      <c r="AB86" s="265"/>
      <c r="AC86" s="254"/>
      <c r="AD86" s="293"/>
      <c r="AE86" s="280"/>
      <c r="AF86" s="253"/>
      <c r="AG86" s="293"/>
      <c r="AH86" s="253"/>
      <c r="AI86" s="673"/>
      <c r="AJ86" s="255"/>
      <c r="AK86" s="662"/>
      <c r="AL86" s="670"/>
    </row>
    <row r="87" spans="1:49" ht="15.75">
      <c r="A87" s="227"/>
      <c r="B87" s="225" t="s">
        <v>217</v>
      </c>
      <c r="C87" s="227"/>
      <c r="D87" s="227"/>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54"/>
      <c r="AD87" s="265"/>
      <c r="AE87" s="280"/>
      <c r="AF87" s="253"/>
      <c r="AG87" s="270"/>
      <c r="AH87" s="270"/>
      <c r="AI87" s="682"/>
      <c r="AJ87" s="255"/>
      <c r="AK87" s="662"/>
      <c r="AL87" s="670"/>
    </row>
    <row r="88" spans="1:49" ht="15.75">
      <c r="A88" s="227"/>
      <c r="B88" s="227" t="s">
        <v>218</v>
      </c>
      <c r="C88" s="227"/>
      <c r="D88" s="227"/>
      <c r="E88" s="522">
        <f>+' Exhibit I State'!E87+'Exhibit I Federal'!E69</f>
        <v>0</v>
      </c>
      <c r="F88" s="265"/>
      <c r="G88" s="377">
        <f>' Exhibit I State'!G87</f>
        <v>0</v>
      </c>
      <c r="H88" s="377"/>
      <c r="I88" s="377">
        <f>' Exhibit I State'!I87</f>
        <v>0</v>
      </c>
      <c r="J88" s="265"/>
      <c r="K88" s="377">
        <f>' Exhibit I State'!K87</f>
        <v>0</v>
      </c>
      <c r="L88" s="265"/>
      <c r="M88" s="377">
        <f>' Exhibit I State'!M87</f>
        <v>0</v>
      </c>
      <c r="N88" s="377"/>
      <c r="O88" s="377">
        <v>0</v>
      </c>
      <c r="P88" s="265"/>
      <c r="Q88" s="377">
        <v>0</v>
      </c>
      <c r="R88" s="265"/>
      <c r="S88" s="377"/>
      <c r="T88" s="265"/>
      <c r="U88" s="377"/>
      <c r="V88" s="265"/>
      <c r="W88" s="377"/>
      <c r="X88" s="265"/>
      <c r="Y88" s="377"/>
      <c r="Z88" s="265"/>
      <c r="AA88" s="521"/>
      <c r="AB88" s="265"/>
      <c r="AC88" s="254"/>
      <c r="AD88" s="278">
        <f>ROUND(SUM(E88:AA88),1)</f>
        <v>0</v>
      </c>
      <c r="AE88" s="280"/>
      <c r="AF88" s="253"/>
      <c r="AG88" s="270">
        <f>' Exhibit I State'!AI87</f>
        <v>0</v>
      </c>
      <c r="AH88" s="270"/>
      <c r="AI88" s="682"/>
      <c r="AJ88" s="679">
        <f>ROUND(SUM(+AD88-AG88),1)</f>
        <v>0</v>
      </c>
      <c r="AK88" s="672"/>
      <c r="AL88" s="45">
        <f>ROUND(IF(AG88=0,0,AJ88/(AG88)),3)</f>
        <v>0</v>
      </c>
    </row>
    <row r="89" spans="1:49" ht="15.75">
      <c r="A89" s="227"/>
      <c r="B89" s="251" t="s">
        <v>182</v>
      </c>
      <c r="C89" s="227"/>
      <c r="D89" s="227"/>
      <c r="E89" s="522">
        <f>+' Exhibit I State'!E88+'Exhibit I Federal'!E69</f>
        <v>35.4</v>
      </c>
      <c r="F89" s="265"/>
      <c r="G89" s="522">
        <v>73.3</v>
      </c>
      <c r="H89" s="522"/>
      <c r="I89" s="522">
        <v>126.7</v>
      </c>
      <c r="J89" s="265"/>
      <c r="K89" s="522">
        <v>-286.60000000000002</v>
      </c>
      <c r="L89" s="265"/>
      <c r="M89" s="522">
        <v>148.69999999999999</v>
      </c>
      <c r="N89" s="265"/>
      <c r="O89" s="522">
        <f>+' Exhibit I State'!O88+'Exhibit I Federal'!O69</f>
        <v>198.9</v>
      </c>
      <c r="P89" s="265"/>
      <c r="Q89" s="522">
        <f>+' Exhibit I State'!Q88+'Exhibit I Federal'!Q69</f>
        <v>177.3</v>
      </c>
      <c r="R89" s="265"/>
      <c r="S89" s="522"/>
      <c r="T89" s="265"/>
      <c r="U89" s="522"/>
      <c r="V89" s="265"/>
      <c r="W89" s="522"/>
      <c r="X89" s="265"/>
      <c r="Y89" s="522"/>
      <c r="Z89" s="265"/>
      <c r="AA89" s="522"/>
      <c r="AB89" s="265"/>
      <c r="AC89" s="254"/>
      <c r="AD89" s="278">
        <f>ROUND(SUM(E89:AA89),1)</f>
        <v>473.7</v>
      </c>
      <c r="AE89" s="280"/>
      <c r="AF89" s="253"/>
      <c r="AG89" s="323">
        <f>+' Exhibit I State'!AI88+'Exhibit I Federal'!AI69</f>
        <v>537.9</v>
      </c>
      <c r="AH89" s="278"/>
      <c r="AI89" s="671"/>
      <c r="AJ89" s="679">
        <f>ROUND(SUM(+AD89-AG89),1)</f>
        <v>-64.2</v>
      </c>
      <c r="AK89" s="662"/>
      <c r="AL89" s="45">
        <f>ROUND(IF(AG89=0,0,AJ89/(AG89)),3)</f>
        <v>-0.11899999999999999</v>
      </c>
      <c r="AM89" s="662"/>
      <c r="AN89" s="374"/>
    </row>
    <row r="90" spans="1:49" ht="15.75">
      <c r="A90" s="227"/>
      <c r="B90" s="251" t="s">
        <v>219</v>
      </c>
      <c r="C90" s="227"/>
      <c r="D90" s="227"/>
      <c r="E90" s="265">
        <f>+' Exhibit I State'!E89+'Exhibit I Federal'!E70</f>
        <v>-78.2</v>
      </c>
      <c r="F90" s="265"/>
      <c r="G90" s="265">
        <v>-84.3</v>
      </c>
      <c r="H90" s="265"/>
      <c r="I90" s="265">
        <v>-80.3</v>
      </c>
      <c r="J90" s="265"/>
      <c r="K90" s="265">
        <v>-81.599999999999994</v>
      </c>
      <c r="L90" s="265"/>
      <c r="M90" s="265">
        <v>-159.30000000000001</v>
      </c>
      <c r="N90" s="265"/>
      <c r="O90" s="265">
        <f>+' Exhibit I State'!O89+'Exhibit I Federal'!O70</f>
        <v>-180</v>
      </c>
      <c r="P90" s="265"/>
      <c r="Q90" s="522">
        <f>+' Exhibit I State'!Q89+'Exhibit I Federal'!Q70</f>
        <v>-83.5</v>
      </c>
      <c r="R90" s="265"/>
      <c r="S90" s="522"/>
      <c r="T90" s="265"/>
      <c r="U90" s="522"/>
      <c r="V90" s="265"/>
      <c r="W90" s="522"/>
      <c r="X90" s="265"/>
      <c r="Y90" s="522"/>
      <c r="Z90" s="265"/>
      <c r="AA90" s="522"/>
      <c r="AB90" s="265"/>
      <c r="AC90" s="254"/>
      <c r="AD90" s="278">
        <f>ROUND(SUM(E90:AA90),1)</f>
        <v>-747.2</v>
      </c>
      <c r="AE90" s="280"/>
      <c r="AF90" s="253"/>
      <c r="AG90" s="531">
        <f>+' Exhibit I State'!AI89+'Exhibit I Federal'!AI70</f>
        <v>-783.8</v>
      </c>
      <c r="AH90" s="253"/>
      <c r="AI90" s="673"/>
      <c r="AJ90" s="1985">
        <f>ROUND(SUM(+AD90-AG90),1)</f>
        <v>36.6</v>
      </c>
      <c r="AK90" s="662"/>
      <c r="AL90" s="2004">
        <f>-ROUND(IF(AG90=0,0,AJ90/(AG90)),3)</f>
        <v>4.7E-2</v>
      </c>
      <c r="AM90" s="662"/>
      <c r="AN90" s="374"/>
    </row>
    <row r="91" spans="1:49" ht="15.75">
      <c r="A91" s="227"/>
      <c r="B91" s="227"/>
      <c r="C91" s="227"/>
      <c r="D91" s="227"/>
      <c r="E91" s="293"/>
      <c r="F91" s="265"/>
      <c r="G91" s="293"/>
      <c r="H91" s="265"/>
      <c r="I91" s="293"/>
      <c r="J91" s="265"/>
      <c r="K91" s="293"/>
      <c r="L91" s="265"/>
      <c r="M91" s="293"/>
      <c r="N91" s="265"/>
      <c r="O91" s="293"/>
      <c r="P91" s="265"/>
      <c r="Q91" s="293"/>
      <c r="R91" s="265"/>
      <c r="S91" s="293"/>
      <c r="T91" s="265"/>
      <c r="U91" s="293"/>
      <c r="V91" s="265"/>
      <c r="W91" s="293"/>
      <c r="X91" s="265"/>
      <c r="Y91" s="293"/>
      <c r="Z91" s="265"/>
      <c r="AA91" s="293"/>
      <c r="AB91" s="265"/>
      <c r="AC91" s="254"/>
      <c r="AD91" s="293"/>
      <c r="AE91" s="280"/>
      <c r="AF91" s="253"/>
      <c r="AG91" s="255"/>
      <c r="AH91" s="255"/>
      <c r="AI91" s="685"/>
      <c r="AJ91" s="255"/>
      <c r="AK91" s="662"/>
      <c r="AL91" s="670"/>
      <c r="AM91" s="374"/>
    </row>
    <row r="92" spans="1:49" ht="15.75">
      <c r="A92" s="227"/>
      <c r="B92" s="225" t="s">
        <v>1693</v>
      </c>
      <c r="C92" s="227"/>
      <c r="D92" s="227"/>
      <c r="E92" s="261">
        <f>ROUND(SUM(E88:E91),1)</f>
        <v>-42.8</v>
      </c>
      <c r="F92" s="261"/>
      <c r="G92" s="261">
        <f>ROUND(SUM(G88:G91),1)</f>
        <v>-11</v>
      </c>
      <c r="H92" s="261"/>
      <c r="I92" s="261">
        <f>ROUND(SUM(I88:I91),1)</f>
        <v>46.4</v>
      </c>
      <c r="J92" s="261"/>
      <c r="K92" s="261">
        <f>ROUND(SUM(K88:K91),1)</f>
        <v>-368.2</v>
      </c>
      <c r="L92" s="261"/>
      <c r="M92" s="2154">
        <f>ROUND(SUM(M88:M91),1)</f>
        <v>-10.6</v>
      </c>
      <c r="N92" s="261"/>
      <c r="O92" s="261">
        <f>ROUND(SUM(O88:O91),1)</f>
        <v>18.899999999999999</v>
      </c>
      <c r="P92" s="261"/>
      <c r="Q92" s="261">
        <f>ROUND(SUM(Q88:Q91),1)</f>
        <v>93.8</v>
      </c>
      <c r="R92" s="261"/>
      <c r="S92" s="261">
        <f>ROUND(SUM(S88:S91),1)</f>
        <v>0</v>
      </c>
      <c r="T92" s="261"/>
      <c r="U92" s="261">
        <f>ROUND(SUM(U88:U91),1)</f>
        <v>0</v>
      </c>
      <c r="V92" s="261"/>
      <c r="W92" s="261">
        <f>ROUND(SUM(W88:W91),1)</f>
        <v>0</v>
      </c>
      <c r="X92" s="261"/>
      <c r="Y92" s="261">
        <f>ROUND(SUM(Y88:Y91),1)</f>
        <v>0</v>
      </c>
      <c r="Z92" s="261"/>
      <c r="AA92" s="261">
        <f>ROUND(SUM(AA88:AA91),1)</f>
        <v>0</v>
      </c>
      <c r="AB92" s="261"/>
      <c r="AC92" s="263"/>
      <c r="AD92" s="261">
        <f>ROUND(SUM(AD88:AD91),1)</f>
        <v>-273.5</v>
      </c>
      <c r="AE92" s="426"/>
      <c r="AF92" s="277"/>
      <c r="AG92" s="261">
        <f>ROUND(SUM(AG88:AG91),1)</f>
        <v>-245.9</v>
      </c>
      <c r="AH92" s="277"/>
      <c r="AI92" s="673"/>
      <c r="AJ92" s="275">
        <f>ROUND(SUM(AD92-AG92),1)</f>
        <v>-27.6</v>
      </c>
      <c r="AK92" s="680"/>
      <c r="AL92" s="688">
        <f>ROUND(SUM(AJ92/ABS(AG92)),3)</f>
        <v>-0.112</v>
      </c>
      <c r="AM92" s="667"/>
      <c r="AN92" s="667"/>
      <c r="AO92" s="667"/>
      <c r="AP92" s="667"/>
    </row>
    <row r="93" spans="1:49" ht="15.75">
      <c r="A93" s="227"/>
      <c r="B93" s="227"/>
      <c r="C93" s="227"/>
      <c r="D93" s="227"/>
      <c r="E93" s="293"/>
      <c r="F93" s="265"/>
      <c r="G93" s="293"/>
      <c r="H93" s="265"/>
      <c r="I93" s="293"/>
      <c r="J93" s="265"/>
      <c r="K93" s="293"/>
      <c r="L93" s="265"/>
      <c r="M93" s="293"/>
      <c r="N93" s="265"/>
      <c r="O93" s="293"/>
      <c r="P93" s="265"/>
      <c r="Q93" s="293"/>
      <c r="R93" s="265"/>
      <c r="S93" s="293"/>
      <c r="T93" s="265"/>
      <c r="U93" s="293"/>
      <c r="V93" s="265"/>
      <c r="W93" s="293"/>
      <c r="X93" s="265"/>
      <c r="Y93" s="293"/>
      <c r="Z93" s="265"/>
      <c r="AA93" s="293"/>
      <c r="AB93" s="265"/>
      <c r="AC93" s="254"/>
      <c r="AD93" s="293"/>
      <c r="AE93" s="280"/>
      <c r="AF93" s="253"/>
      <c r="AG93" s="293"/>
      <c r="AH93" s="253"/>
      <c r="AI93" s="673"/>
      <c r="AJ93" s="255"/>
      <c r="AK93" s="662"/>
      <c r="AL93" s="670"/>
    </row>
    <row r="94" spans="1:49" ht="15.75">
      <c r="A94" s="227"/>
      <c r="B94" s="227"/>
      <c r="C94" s="227"/>
      <c r="D94" s="227"/>
      <c r="E94" s="265"/>
      <c r="F94" s="265"/>
      <c r="G94" s="265" t="s">
        <v>16</v>
      </c>
      <c r="H94" s="265"/>
      <c r="I94" s="265" t="s">
        <v>16</v>
      </c>
      <c r="J94" s="265"/>
      <c r="K94" s="265" t="s">
        <v>16</v>
      </c>
      <c r="L94" s="265"/>
      <c r="M94" s="265" t="s">
        <v>16</v>
      </c>
      <c r="N94" s="265"/>
      <c r="O94" s="265" t="s">
        <v>16</v>
      </c>
      <c r="P94" s="265"/>
      <c r="Q94" s="265" t="s">
        <v>16</v>
      </c>
      <c r="R94" s="265"/>
      <c r="S94" s="265" t="s">
        <v>16</v>
      </c>
      <c r="T94" s="265"/>
      <c r="U94" s="265" t="s">
        <v>16</v>
      </c>
      <c r="V94" s="265"/>
      <c r="W94" s="265" t="s">
        <v>16</v>
      </c>
      <c r="X94" s="265"/>
      <c r="Y94" s="265" t="s">
        <v>16</v>
      </c>
      <c r="Z94" s="265"/>
      <c r="AA94" s="265" t="s">
        <v>16</v>
      </c>
      <c r="AB94" s="265"/>
      <c r="AC94" s="254"/>
      <c r="AD94" s="265" t="s">
        <v>16</v>
      </c>
      <c r="AE94" s="280"/>
      <c r="AF94" s="253"/>
      <c r="AG94" s="265"/>
      <c r="AH94" s="265"/>
      <c r="AI94" s="673"/>
      <c r="AJ94" s="255" t="s">
        <v>16</v>
      </c>
      <c r="AK94" s="662"/>
      <c r="AL94" s="670"/>
    </row>
    <row r="95" spans="1:49" ht="15.75">
      <c r="A95" s="227"/>
      <c r="B95" s="225" t="s">
        <v>221</v>
      </c>
      <c r="C95" s="227"/>
      <c r="D95" s="227"/>
      <c r="E95" s="265"/>
      <c r="F95" s="265"/>
      <c r="G95" s="265" t="s">
        <v>16</v>
      </c>
      <c r="H95" s="265"/>
      <c r="I95" s="265" t="s">
        <v>16</v>
      </c>
      <c r="J95" s="265"/>
      <c r="K95" s="265" t="s">
        <v>16</v>
      </c>
      <c r="L95" s="265"/>
      <c r="M95" s="265" t="s">
        <v>16</v>
      </c>
      <c r="N95" s="265"/>
      <c r="O95" s="265" t="s">
        <v>16</v>
      </c>
      <c r="P95" s="265"/>
      <c r="Q95" s="265" t="s">
        <v>16</v>
      </c>
      <c r="R95" s="265"/>
      <c r="S95" s="265" t="s">
        <v>16</v>
      </c>
      <c r="T95" s="265"/>
      <c r="U95" s="265" t="s">
        <v>16</v>
      </c>
      <c r="V95" s="265"/>
      <c r="W95" s="265" t="s">
        <v>16</v>
      </c>
      <c r="X95" s="265"/>
      <c r="Y95" s="265" t="s">
        <v>16</v>
      </c>
      <c r="Z95" s="265"/>
      <c r="AA95" s="265" t="s">
        <v>16</v>
      </c>
      <c r="AB95" s="265"/>
      <c r="AC95" s="254"/>
      <c r="AD95" s="265"/>
      <c r="AE95" s="280"/>
      <c r="AF95" s="253"/>
      <c r="AG95" s="265"/>
      <c r="AH95" s="265"/>
      <c r="AI95" s="673"/>
      <c r="AJ95" s="255"/>
      <c r="AK95" s="662"/>
      <c r="AL95" s="670"/>
    </row>
    <row r="96" spans="1:49" ht="15.75">
      <c r="A96" s="227"/>
      <c r="B96" s="225" t="s">
        <v>222</v>
      </c>
      <c r="C96" s="227"/>
      <c r="D96" s="227"/>
      <c r="E96" s="261" t="s">
        <v>16</v>
      </c>
      <c r="F96" s="261"/>
      <c r="G96" s="261"/>
      <c r="H96" s="261"/>
      <c r="I96" s="261"/>
      <c r="J96" s="261"/>
      <c r="K96" s="261"/>
      <c r="L96" s="261"/>
      <c r="M96" s="2154"/>
      <c r="N96" s="261"/>
      <c r="O96" s="261"/>
      <c r="P96" s="261"/>
      <c r="Q96" s="261"/>
      <c r="R96" s="261"/>
      <c r="S96" s="261"/>
      <c r="T96" s="261"/>
      <c r="U96" s="261"/>
      <c r="V96" s="261"/>
      <c r="W96" s="261"/>
      <c r="X96" s="261"/>
      <c r="Y96" s="261"/>
      <c r="Z96" s="261"/>
      <c r="AA96" s="261"/>
      <c r="AB96" s="261"/>
      <c r="AC96" s="263"/>
      <c r="AD96" s="261" t="s">
        <v>16</v>
      </c>
      <c r="AE96" s="426"/>
      <c r="AF96" s="277"/>
      <c r="AG96" s="686"/>
      <c r="AH96" s="686"/>
      <c r="AI96" s="685"/>
      <c r="AJ96" s="686"/>
      <c r="AK96" s="680"/>
      <c r="AL96" s="666"/>
      <c r="AM96" s="667"/>
      <c r="AN96" s="667"/>
      <c r="AO96" s="667"/>
      <c r="AP96" s="667"/>
      <c r="AQ96" s="667"/>
      <c r="AR96" s="667"/>
      <c r="AS96" s="667"/>
      <c r="AT96" s="667"/>
      <c r="AU96" s="667"/>
      <c r="AV96" s="667"/>
      <c r="AW96" s="667"/>
    </row>
    <row r="97" spans="1:53" ht="15.75">
      <c r="A97" s="227"/>
      <c r="B97" s="225" t="s">
        <v>1683</v>
      </c>
      <c r="C97" s="227"/>
      <c r="D97" s="227"/>
      <c r="E97" s="687">
        <f>ROUND(SUM(E85+E92),1)</f>
        <v>11.3</v>
      </c>
      <c r="F97" s="261"/>
      <c r="G97" s="687">
        <f>ROUND(SUM(G85+G92),1)</f>
        <v>-32.700000000000003</v>
      </c>
      <c r="H97" s="261"/>
      <c r="I97" s="687">
        <f>ROUND(SUM(I85+I92),1)</f>
        <v>-150.6</v>
      </c>
      <c r="J97" s="261"/>
      <c r="K97" s="687">
        <f>ROUND(SUM(K85+K92),1)</f>
        <v>14.6</v>
      </c>
      <c r="L97" s="261"/>
      <c r="M97" s="687">
        <f>ROUND(SUM(M85+M92),1)</f>
        <v>-193.3</v>
      </c>
      <c r="N97" s="261"/>
      <c r="O97" s="687">
        <f>ROUND(SUM(O85+O92),1)</f>
        <v>-144.6</v>
      </c>
      <c r="P97" s="261"/>
      <c r="Q97" s="687">
        <f>ROUND(SUM(Q85+Q92),1)</f>
        <v>-110.8</v>
      </c>
      <c r="R97" s="261"/>
      <c r="S97" s="687">
        <f>ROUND(SUM(S85+S92),1)</f>
        <v>0</v>
      </c>
      <c r="T97" s="261"/>
      <c r="U97" s="687">
        <f>ROUND(SUM(U85+U92),1)</f>
        <v>0</v>
      </c>
      <c r="V97" s="261"/>
      <c r="W97" s="687">
        <f>ROUND(SUM(W85+W92),1)</f>
        <v>0</v>
      </c>
      <c r="X97" s="261"/>
      <c r="Y97" s="687">
        <f>ROUND(SUM(Y85+Y92),1)</f>
        <v>0</v>
      </c>
      <c r="Z97" s="261"/>
      <c r="AA97" s="687">
        <f>ROUND(SUM(AA85+AA92),1)</f>
        <v>0</v>
      </c>
      <c r="AB97" s="261"/>
      <c r="AC97" s="263"/>
      <c r="AD97" s="687">
        <f>ROUND(AD85+AD92,1)</f>
        <v>-606.1</v>
      </c>
      <c r="AE97" s="426"/>
      <c r="AF97" s="277"/>
      <c r="AG97" s="687">
        <f>ROUND(AG85+AG92,1)</f>
        <v>-318.7</v>
      </c>
      <c r="AH97" s="686"/>
      <c r="AI97" s="685"/>
      <c r="AJ97" s="687">
        <f>ROUND(SUM(+AD97-AG97),1)</f>
        <v>-287.39999999999998</v>
      </c>
      <c r="AK97" s="680"/>
      <c r="AL97" s="688">
        <f>ROUND(SUM(AJ97/AG97*-1),3)</f>
        <v>-0.90200000000000002</v>
      </c>
      <c r="AM97" s="667"/>
      <c r="AN97" s="689"/>
      <c r="AO97" s="667"/>
      <c r="AP97" s="667"/>
      <c r="AQ97" s="667"/>
      <c r="AR97" s="667"/>
      <c r="AS97" s="667"/>
      <c r="AT97" s="667"/>
      <c r="AU97" s="667"/>
      <c r="AV97" s="667"/>
      <c r="AW97" s="667"/>
    </row>
    <row r="98" spans="1:53">
      <c r="A98" s="227"/>
      <c r="B98" s="227" t="s">
        <v>16</v>
      </c>
      <c r="C98" s="227"/>
      <c r="D98" s="227"/>
      <c r="E98" s="232"/>
      <c r="F98" s="232"/>
      <c r="G98" s="232"/>
      <c r="H98" s="232"/>
      <c r="I98" s="232"/>
      <c r="J98" s="232"/>
      <c r="K98" s="232"/>
      <c r="L98" s="232"/>
      <c r="M98" s="232"/>
      <c r="N98" s="232"/>
      <c r="O98" s="232"/>
      <c r="P98" s="232"/>
      <c r="Q98" s="232"/>
      <c r="R98" s="232"/>
      <c r="S98" s="538" t="s">
        <v>16</v>
      </c>
      <c r="T98" s="232"/>
      <c r="U98" s="538" t="s">
        <v>16</v>
      </c>
      <c r="V98" s="232"/>
      <c r="W98" s="538" t="s">
        <v>16</v>
      </c>
      <c r="X98" s="232"/>
      <c r="Y98" s="232"/>
      <c r="Z98" s="232"/>
      <c r="AA98" s="232"/>
      <c r="AB98" s="304"/>
      <c r="AC98" s="690"/>
      <c r="AD98" s="232"/>
      <c r="AE98" s="304"/>
      <c r="AF98" s="690"/>
      <c r="AG98" s="232"/>
      <c r="AH98" s="519"/>
      <c r="AI98" s="233"/>
      <c r="AJ98" s="662"/>
      <c r="AK98" s="662"/>
      <c r="AL98" s="670"/>
      <c r="AM98" s="662"/>
      <c r="AN98" s="662"/>
    </row>
    <row r="99" spans="1:53" s="226" customFormat="1" ht="15" customHeight="1" thickBot="1">
      <c r="A99" s="227"/>
      <c r="B99" s="225" t="s">
        <v>1694</v>
      </c>
      <c r="C99" s="227"/>
      <c r="E99" s="508">
        <f>ROUND(SUM(+E97+E15),1)</f>
        <v>-617.4</v>
      </c>
      <c r="F99" s="299"/>
      <c r="G99" s="508">
        <f>ROUND(SUM(+G97+G15),1)</f>
        <v>-650.1</v>
      </c>
      <c r="H99" s="299"/>
      <c r="I99" s="508">
        <f>ROUND(SUM(+I97+I15),1)</f>
        <v>-800.7</v>
      </c>
      <c r="J99" s="299"/>
      <c r="K99" s="508">
        <f>ROUND(SUM(+K97+K15),1)</f>
        <v>-786.1</v>
      </c>
      <c r="L99" s="299"/>
      <c r="M99" s="508">
        <f>ROUND(SUM(+M97+M15),1)</f>
        <v>-979.4</v>
      </c>
      <c r="N99" s="299"/>
      <c r="O99" s="508">
        <f>ROUND(SUM(+O97+O15),1)</f>
        <v>-1124</v>
      </c>
      <c r="P99" s="299"/>
      <c r="Q99" s="508">
        <f>ROUND(SUM(+Q97+Q15),1)</f>
        <v>-1234.8</v>
      </c>
      <c r="R99" s="299"/>
      <c r="S99" s="508">
        <f>ROUND(SUM(+S97+S15),1)</f>
        <v>0</v>
      </c>
      <c r="T99" s="299"/>
      <c r="U99" s="508">
        <f>ROUND(SUM(+U97+U15),1)</f>
        <v>0</v>
      </c>
      <c r="V99" s="299"/>
      <c r="W99" s="508">
        <f>ROUND(SUM(+W97+W15),1)</f>
        <v>0</v>
      </c>
      <c r="X99" s="299"/>
      <c r="Y99" s="508">
        <f>ROUND(SUM(+Y97+Y15),1)</f>
        <v>0</v>
      </c>
      <c r="Z99" s="299"/>
      <c r="AA99" s="508">
        <f>ROUND(SUM(+AA97+AA15),1)</f>
        <v>0</v>
      </c>
      <c r="AB99" s="299"/>
      <c r="AC99" s="300"/>
      <c r="AD99" s="508">
        <f>ROUND(SUM(+AD97+AD15),1)</f>
        <v>-1234.8</v>
      </c>
      <c r="AE99" s="299"/>
      <c r="AF99" s="300"/>
      <c r="AG99" s="508">
        <f>ROUND(SUM(+AG97+AG15),1)</f>
        <v>-804.7</v>
      </c>
      <c r="AH99" s="516"/>
      <c r="AI99" s="429"/>
      <c r="AJ99" s="508">
        <f>ROUND(SUM(+AJ97+AJ15),1)</f>
        <v>-430.1</v>
      </c>
      <c r="AK99" s="389"/>
      <c r="AL99" s="536">
        <f>ROUND(SUM(-(+AD99-AG99)/AG99),3)</f>
        <v>-0.53400000000000003</v>
      </c>
      <c r="AM99" s="680"/>
      <c r="AN99" s="680"/>
      <c r="AO99" s="667"/>
      <c r="AP99" s="667"/>
      <c r="AQ99" s="511"/>
      <c r="AR99" s="511"/>
      <c r="AS99" s="511"/>
      <c r="AT99" s="511"/>
      <c r="AU99" s="511"/>
      <c r="AV99" s="511"/>
      <c r="AW99" s="511"/>
      <c r="AX99" s="511"/>
      <c r="AY99" s="511"/>
      <c r="AZ99" s="511"/>
      <c r="BA99" s="511"/>
    </row>
    <row r="100" spans="1:53" ht="15.75" thickTop="1">
      <c r="B100" s="430"/>
    </row>
    <row r="101" spans="1:53">
      <c r="B101" s="691"/>
      <c r="C101" s="692"/>
      <c r="D101" s="692"/>
      <c r="E101" s="693"/>
      <c r="F101" s="693"/>
      <c r="G101" s="693"/>
      <c r="AG101" s="694"/>
      <c r="AJ101" s="374"/>
    </row>
    <row r="102" spans="1:53">
      <c r="B102" s="691"/>
      <c r="C102" s="692"/>
      <c r="D102" s="692"/>
      <c r="E102" s="693"/>
      <c r="F102" s="693"/>
      <c r="G102" s="693"/>
      <c r="AJ102" s="374"/>
    </row>
    <row r="103" spans="1:53">
      <c r="B103" s="695"/>
      <c r="AJ103" s="374"/>
    </row>
    <row r="104" spans="1:53">
      <c r="B104" s="695"/>
    </row>
    <row r="105" spans="1:53">
      <c r="B105" s="691"/>
    </row>
    <row r="106" spans="1:53">
      <c r="B106" s="695"/>
    </row>
    <row r="107" spans="1:53">
      <c r="B107" s="695"/>
    </row>
    <row r="108" spans="1:53">
      <c r="B108" s="691"/>
    </row>
  </sheetData>
  <customSheetViews>
    <customSheetView guid="{BD09DBC2-63A5-4D9C-9B00-4281066E9389}" scale="60" showPageBreaks="1" showGridLines="0" printArea="1">
      <selection activeCell="M50" sqref="M50"/>
      <rowBreaks count="1" manualBreakCount="1">
        <brk id="81" min="1" max="37" man="1"/>
      </rowBreaks>
      <pageMargins left="0.5" right="0.2" top="0.75" bottom="0.5" header="0" footer="0.25"/>
      <pageSetup scale="40" firstPageNumber="29" orientation="landscape" useFirstPageNumber="1" r:id="rId1"/>
      <headerFooter alignWithMargins="0">
        <oddFooter>&amp;C&amp;8&amp;P</oddFooter>
      </headerFooter>
    </customSheetView>
    <customSheetView guid="{C82E0A7D-2B5B-48FC-A705-3168E651E04C}" scale="70" showPageBreaks="1" showGridLines="0" printArea="1" topLeftCell="B25">
      <selection activeCell="U36" sqref="U36"/>
      <rowBreaks count="1" manualBreakCount="1">
        <brk id="61" min="1" max="37" man="1"/>
      </rowBreaks>
      <pageMargins left="0.5" right="0.2" top="0.75" bottom="0.5" header="0" footer="0.25"/>
      <pageSetup scale="41" firstPageNumber="29" fitToHeight="2" orientation="landscape" useFirstPageNumber="1" r:id="rId2"/>
      <headerFooter scaleWithDoc="0" alignWithMargins="0">
        <oddFooter>&amp;C&amp;8&amp;P</oddFooter>
      </headerFooter>
    </customSheetView>
    <customSheetView guid="{A8B05C3B-0E7E-44A3-A097-AF4C5C09F04E}" scale="70" showPageBreaks="1" showGridLines="0" printArea="1" topLeftCell="I1">
      <selection activeCell="U36" sqref="U36"/>
      <rowBreaks count="1" manualBreakCount="1">
        <brk id="61" min="1" max="37" man="1"/>
      </rowBreaks>
      <pageMargins left="0.5" right="0.2" top="0.75" bottom="0.5" header="0" footer="0.25"/>
      <pageSetup scale="41" firstPageNumber="29" fitToHeight="2" orientation="landscape" useFirstPageNumber="1" r:id="rId3"/>
      <headerFooter scaleWithDoc="0" alignWithMargins="0">
        <oddFooter>&amp;C&amp;8&amp;P</oddFooter>
      </headerFooter>
    </customSheetView>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4"/>
      <headerFooter scaleWithDoc="0" alignWithMargins="0">
        <oddFooter>&amp;C&amp;8&amp;P</oddFooter>
      </headerFooter>
    </customSheetView>
    <customSheetView guid="{4735AAE3-27B4-4549-AAB4-50ACA997F5F5}" scale="70" showPageBreaks="1" showGridLines="0" printArea="1" topLeftCell="B55">
      <selection activeCell="AL54" sqref="AL54"/>
      <rowBreaks count="1" manualBreakCount="1">
        <brk id="61" min="1" max="37" man="1"/>
      </rowBreaks>
      <pageMargins left="0.4" right="0.2" top="0.75" bottom="0.5" header="0" footer="0.25"/>
      <pageSetup scale="41" firstPageNumber="29" fitToHeight="2" orientation="landscape" useFirstPageNumber="1" r:id="rId5"/>
      <headerFooter scaleWithDoc="0" alignWithMargins="0">
        <oddFooter>&amp;C&amp;8&amp;P</oddFooter>
      </headerFooter>
    </customSheetView>
    <customSheetView guid="{80622567-647A-4891-B8EE-6B9E2C4DAC44}" scale="60" showPageBreaks="1" showGridLines="0" printArea="1" topLeftCell="B4">
      <selection activeCell="Q68" sqref="Q68"/>
      <rowBreaks count="1" manualBreakCount="1">
        <brk id="61" min="1" max="37" man="1"/>
      </rowBreaks>
      <pageMargins left="0.5" right="0.2" top="0.75" bottom="0.5" header="0" footer="0.25"/>
      <pageSetup scale="41" firstPageNumber="29" fitToHeight="2" orientation="landscape" useFirstPageNumber="1" r:id="rId6"/>
      <headerFooter scaleWithDoc="0" alignWithMargins="0">
        <oddFooter>&amp;C&amp;8&amp;P</oddFooter>
      </headerFooter>
    </customSheetView>
    <customSheetView guid="{A97EE6C3-4DA8-41BD-BE43-F596EFCB43CA}" showPageBreaks="1" showGridLines="0" printArea="1" topLeftCell="A67">
      <selection activeCell="E89" sqref="E89"/>
      <rowBreaks count="1" manualBreakCount="1">
        <brk id="61" min="1" max="37" man="1"/>
      </rowBreaks>
      <pageMargins left="0.5" right="0.2" top="0.75" bottom="0.5" header="0" footer="0.25"/>
      <pageSetup scale="41" firstPageNumber="29" fitToHeight="2" orientation="landscape" useFirstPageNumber="1" r:id="rId7"/>
      <headerFooter scaleWithDoc="0" alignWithMargins="0">
        <oddFooter>&amp;C&amp;8&amp;P</oddFooter>
      </headerFooter>
    </customSheetView>
    <customSheetView guid="{90B76C5A-2FC4-40F0-8436-3E4F075A4887}" scale="70" showPageBreaks="1" showGridLines="0" printArea="1">
      <selection activeCell="E89" sqref="E89"/>
      <rowBreaks count="1" manualBreakCount="1">
        <brk id="61" max="37" man="1"/>
      </rowBreaks>
      <pageMargins left="0.5" right="0.2" top="0.75" bottom="0.5" header="0" footer="0.25"/>
      <pageSetup scale="41" firstPageNumber="29" fitToHeight="2" orientation="landscape" useFirstPageNumber="1" r:id="rId8"/>
      <headerFooter scaleWithDoc="0" alignWithMargins="0">
        <oddFooter>&amp;C&amp;8&amp;P</oddFooter>
      </headerFooter>
    </customSheetView>
  </customSheetViews>
  <mergeCells count="1">
    <mergeCell ref="AD10:AL10"/>
  </mergeCells>
  <pageMargins left="0.5" right="0.2" top="0.75" bottom="0.5" header="0" footer="0.25"/>
  <pageSetup scale="40" firstPageNumber="29" orientation="landscape" useFirstPageNumber="1" r:id="rId9"/>
  <headerFooter scaleWithDoc="0" alignWithMargins="0">
    <oddFooter>&amp;C&amp;8&amp;P</oddFooter>
  </headerFooter>
  <rowBreaks count="1" manualBreakCount="1">
    <brk id="62" min="1" max="37" man="1"/>
  </rowBreaks>
  <ignoredErrors>
    <ignoredError sqref="AL20:AL24 AL90:AL91 AL76:AL80 AL73:AL74 AL81:AL89 AL37 AL40 AL41 AL42 AL54 AL55:AL56 AL57:AL64 AL39 AL68:AL72 AL26:AL36" unlockedFormula="1"/>
    <ignoredError sqref="AL44 AL48:AL52 AL46:AL47" formula="1" unlockedFormula="1"/>
    <ignoredError sqref="AL43 AL53 AL45" formula="1"/>
  </ignoredErrors>
</worksheet>
</file>

<file path=xl/worksheets/sheet24.xml><?xml version="1.0" encoding="utf-8"?>
<worksheet xmlns="http://schemas.openxmlformats.org/spreadsheetml/2006/main" xmlns:r="http://schemas.openxmlformats.org/officeDocument/2006/relationships">
  <sheetPr codeName="Sheet22"/>
  <dimension ref="A1:AQ105"/>
  <sheetViews>
    <sheetView showGridLines="0" zoomScale="70" zoomScaleNormal="70" workbookViewId="0"/>
  </sheetViews>
  <sheetFormatPr defaultRowHeight="15"/>
  <cols>
    <col min="1" max="1" width="2.5546875" style="306" customWidth="1"/>
    <col min="2" max="2" width="14.33203125" style="306" customWidth="1"/>
    <col min="3" max="3" width="26.33203125" style="306" customWidth="1"/>
    <col min="4" max="4" width="2" style="306" customWidth="1"/>
    <col min="5" max="5" width="11.109375" style="2424" bestFit="1" customWidth="1"/>
    <col min="6" max="6" width="1.77734375" style="2424" customWidth="1"/>
    <col min="7" max="7" width="11.77734375" style="2424" customWidth="1"/>
    <col min="8" max="8" width="1.77734375" style="2424" customWidth="1"/>
    <col min="9" max="9" width="11.109375" style="2424" bestFit="1" customWidth="1"/>
    <col min="10" max="10" width="1.77734375" style="2424" customWidth="1"/>
    <col min="11" max="11" width="12" style="2424" customWidth="1"/>
    <col min="12" max="12" width="1.21875" style="306" customWidth="1"/>
    <col min="13" max="13" width="10.33203125" style="306" bestFit="1" customWidth="1"/>
    <col min="14" max="14" width="1.77734375" style="306" customWidth="1"/>
    <col min="15" max="15" width="11.33203125" style="306" customWidth="1"/>
    <col min="16" max="16" width="1.77734375" style="306" customWidth="1"/>
    <col min="17" max="17" width="9.6640625" style="306" customWidth="1"/>
    <col min="18" max="18" width="1.77734375" style="306" customWidth="1"/>
    <col min="19" max="19" width="10.5546875" style="306" customWidth="1"/>
    <col min="20" max="20" width="1.77734375" style="306" customWidth="1"/>
    <col min="21" max="21" width="10.6640625" style="306" customWidth="1"/>
    <col min="22" max="22" width="1.77734375" style="306" customWidth="1"/>
    <col min="23" max="23" width="9" style="306" bestFit="1" customWidth="1"/>
    <col min="24" max="24" width="1.77734375" style="306" customWidth="1"/>
    <col min="25" max="25" width="10.77734375" style="306" customWidth="1"/>
    <col min="26" max="26" width="1.77734375" style="306" customWidth="1"/>
    <col min="27" max="27" width="9" style="306" bestFit="1" customWidth="1"/>
    <col min="28" max="28" width="1.33203125" style="306" customWidth="1"/>
    <col min="29" max="29" width="12.21875" style="306" customWidth="1"/>
    <col min="30" max="31" width="1.77734375" style="2424" customWidth="1"/>
    <col min="32" max="32" width="11.109375" style="2424" bestFit="1" customWidth="1"/>
    <col min="33" max="34" width="1.109375" style="2424" customWidth="1"/>
    <col min="35" max="35" width="11.33203125" style="2424" customWidth="1"/>
    <col min="36" max="37" width="1" style="2424" customWidth="1"/>
    <col min="38" max="38" width="13.44140625" style="2424" bestFit="1" customWidth="1"/>
    <col min="39" max="39" width="1.33203125" style="306" customWidth="1"/>
    <col min="40" max="40" width="12.88671875" style="306" customWidth="1"/>
    <col min="41" max="42" width="8.88671875" style="306"/>
    <col min="43" max="43" width="19.6640625" style="306" bestFit="1" customWidth="1"/>
    <col min="44" max="16384" width="8.88671875" style="306"/>
  </cols>
  <sheetData>
    <row r="1" spans="1:41">
      <c r="B1" s="1227" t="s">
        <v>1322</v>
      </c>
    </row>
    <row r="2" spans="1:41">
      <c r="B2" s="1876"/>
    </row>
    <row r="3" spans="1:41" ht="19.5" customHeight="1">
      <c r="A3" s="651"/>
      <c r="B3" s="543" t="s">
        <v>0</v>
      </c>
      <c r="C3" s="652"/>
      <c r="D3" s="652"/>
      <c r="E3" s="2425"/>
      <c r="F3" s="2426"/>
      <c r="G3" s="2426"/>
      <c r="H3" s="2426"/>
      <c r="I3" s="2426"/>
      <c r="J3" s="2426"/>
      <c r="K3" s="2426"/>
      <c r="L3" s="653"/>
      <c r="M3" s="653"/>
      <c r="N3" s="653"/>
      <c r="O3" s="653"/>
      <c r="P3" s="653"/>
      <c r="Q3" s="653"/>
      <c r="R3" s="653"/>
      <c r="S3" s="653"/>
      <c r="T3" s="653"/>
      <c r="U3" s="653"/>
      <c r="V3" s="653"/>
      <c r="W3" s="653"/>
      <c r="X3" s="653"/>
      <c r="Y3" s="653"/>
      <c r="Z3" s="653"/>
      <c r="AA3" s="653"/>
      <c r="AB3" s="653"/>
      <c r="AC3" s="653"/>
      <c r="AD3" s="2426"/>
      <c r="AE3" s="2426"/>
      <c r="AF3" s="2426"/>
      <c r="AG3" s="2426"/>
      <c r="AH3" s="2426"/>
      <c r="AI3" s="2426"/>
      <c r="AJ3" s="2426"/>
      <c r="AK3" s="2426"/>
      <c r="AN3" s="756" t="s">
        <v>206</v>
      </c>
    </row>
    <row r="4" spans="1:41" ht="19.5" customHeight="1">
      <c r="A4" s="651"/>
      <c r="B4" s="543" t="s">
        <v>223</v>
      </c>
      <c r="C4" s="652"/>
      <c r="D4" s="652"/>
      <c r="E4" s="2425"/>
      <c r="F4" s="2426"/>
      <c r="G4" s="2426"/>
      <c r="H4" s="2426"/>
      <c r="I4" s="2426"/>
      <c r="J4" s="2426"/>
      <c r="K4" s="2426"/>
      <c r="L4" s="653"/>
      <c r="M4" s="653"/>
      <c r="N4" s="653"/>
      <c r="O4" s="653"/>
      <c r="P4" s="653"/>
      <c r="Q4" s="653"/>
      <c r="R4" s="653"/>
      <c r="S4" s="653"/>
      <c r="T4" s="653"/>
      <c r="U4" s="653"/>
      <c r="V4" s="653"/>
      <c r="W4" s="653"/>
      <c r="X4" s="653"/>
      <c r="Y4" s="653"/>
      <c r="Z4" s="653"/>
      <c r="AA4" s="653"/>
      <c r="AB4" s="653"/>
      <c r="AC4" s="653"/>
      <c r="AD4" s="2426"/>
      <c r="AE4" s="2426"/>
      <c r="AG4" s="2439"/>
      <c r="AH4" s="2439"/>
    </row>
    <row r="5" spans="1:41" ht="19.5" customHeight="1">
      <c r="A5" s="651"/>
      <c r="B5" s="510" t="s">
        <v>1350</v>
      </c>
      <c r="C5" s="652"/>
      <c r="D5" s="652"/>
      <c r="E5" s="2425"/>
      <c r="F5" s="2426"/>
      <c r="G5" s="2426"/>
      <c r="H5" s="2426"/>
      <c r="I5" s="2426"/>
      <c r="J5" s="2426"/>
      <c r="K5" s="2426"/>
      <c r="L5" s="653"/>
      <c r="M5" s="653"/>
      <c r="N5" s="653"/>
      <c r="O5" s="653"/>
      <c r="P5" s="653"/>
      <c r="Q5" s="653"/>
      <c r="R5" s="653"/>
      <c r="S5" s="653"/>
      <c r="T5" s="653"/>
      <c r="U5" s="653"/>
      <c r="V5" s="653"/>
      <c r="W5" s="653"/>
      <c r="X5" s="653"/>
      <c r="Y5" s="653"/>
      <c r="Z5" s="653"/>
      <c r="AA5" s="653"/>
      <c r="AB5" s="653"/>
      <c r="AC5" s="653"/>
      <c r="AD5" s="2426"/>
      <c r="AE5" s="2426"/>
      <c r="AF5" s="2426"/>
      <c r="AG5" s="2426"/>
      <c r="AH5" s="2426"/>
      <c r="AI5" s="2426"/>
      <c r="AJ5" s="2426"/>
      <c r="AK5" s="2426"/>
      <c r="AN5" s="512"/>
    </row>
    <row r="6" spans="1:41" ht="19.5" customHeight="1">
      <c r="A6" s="651"/>
      <c r="B6" s="510" t="s">
        <v>1177</v>
      </c>
      <c r="C6" s="652"/>
      <c r="D6" s="652"/>
      <c r="E6" s="2425"/>
      <c r="F6" s="2426"/>
      <c r="G6" s="2426"/>
      <c r="H6" s="2427"/>
      <c r="I6" s="2426"/>
      <c r="J6" s="2426"/>
      <c r="K6" s="2426"/>
      <c r="L6" s="653"/>
      <c r="M6" s="653"/>
      <c r="N6" s="653"/>
      <c r="O6" s="653"/>
      <c r="P6" s="653"/>
      <c r="Q6" s="653"/>
      <c r="R6" s="653"/>
      <c r="S6" s="653"/>
      <c r="T6" s="653"/>
      <c r="U6" s="653"/>
      <c r="V6" s="653"/>
      <c r="W6" s="653"/>
      <c r="X6" s="653"/>
      <c r="Y6" s="653"/>
      <c r="Z6" s="653"/>
      <c r="AA6" s="653"/>
      <c r="AB6" s="653"/>
      <c r="AC6" s="653"/>
      <c r="AD6" s="2426"/>
      <c r="AE6" s="2426"/>
      <c r="AF6" s="2426"/>
      <c r="AG6" s="2440"/>
      <c r="AH6" s="2440"/>
      <c r="AI6" s="2440"/>
      <c r="AJ6" s="2440"/>
      <c r="AK6" s="2440"/>
    </row>
    <row r="7" spans="1:41" ht="19.5" customHeight="1">
      <c r="A7" s="651"/>
      <c r="B7" s="657" t="s">
        <v>1199</v>
      </c>
      <c r="C7" s="652"/>
      <c r="D7" s="652"/>
      <c r="E7" s="2425"/>
      <c r="F7" s="2426"/>
      <c r="G7" s="2426"/>
      <c r="H7" s="2427"/>
      <c r="I7" s="2426"/>
      <c r="J7" s="2426"/>
      <c r="K7" s="2426"/>
      <c r="L7" s="653"/>
      <c r="M7" s="653"/>
      <c r="N7" s="653"/>
      <c r="O7" s="653"/>
      <c r="P7" s="653"/>
      <c r="Q7" s="653"/>
      <c r="R7" s="653"/>
      <c r="S7" s="653"/>
      <c r="T7" s="653"/>
      <c r="U7" s="653"/>
      <c r="V7" s="653"/>
      <c r="W7" s="653"/>
      <c r="X7" s="653"/>
      <c r="Y7" s="653"/>
      <c r="Z7" s="653"/>
      <c r="AA7" s="653"/>
      <c r="AB7" s="653"/>
      <c r="AC7" s="653"/>
      <c r="AD7" s="2426"/>
      <c r="AE7" s="2426"/>
      <c r="AF7" s="2426"/>
      <c r="AG7" s="2440"/>
      <c r="AH7" s="2440"/>
      <c r="AI7" s="2440"/>
      <c r="AJ7" s="2440"/>
      <c r="AK7" s="2440"/>
    </row>
    <row r="8" spans="1:41" ht="19.5" customHeight="1">
      <c r="A8" s="651"/>
      <c r="C8" s="652"/>
      <c r="D8" s="652"/>
      <c r="E8" s="2425"/>
      <c r="F8" s="2426"/>
      <c r="G8" s="2426"/>
      <c r="H8" s="2426"/>
      <c r="I8" s="2426"/>
      <c r="J8" s="2426"/>
      <c r="K8" s="2426"/>
      <c r="L8" s="653"/>
      <c r="M8" s="653"/>
      <c r="N8" s="653"/>
      <c r="O8" s="653"/>
      <c r="P8" s="653"/>
      <c r="Q8" s="653"/>
      <c r="R8" s="653"/>
      <c r="S8" s="653"/>
      <c r="T8" s="653"/>
      <c r="U8" s="653"/>
      <c r="V8" s="653"/>
      <c r="W8" s="653"/>
      <c r="X8" s="653"/>
      <c r="Y8" s="653"/>
      <c r="Z8" s="653"/>
      <c r="AA8" s="653"/>
      <c r="AB8" s="653"/>
      <c r="AC8" s="653"/>
      <c r="AD8" s="2426"/>
      <c r="AE8" s="2441"/>
    </row>
    <row r="9" spans="1:41" ht="15.75" customHeight="1">
      <c r="A9" s="651"/>
      <c r="B9" s="657"/>
      <c r="C9" s="652"/>
      <c r="D9" s="652"/>
      <c r="E9" s="2425"/>
      <c r="F9" s="2426"/>
      <c r="G9" s="2426"/>
      <c r="H9" s="2426"/>
      <c r="I9" s="2426"/>
      <c r="J9" s="2426"/>
      <c r="K9" s="2426"/>
      <c r="L9" s="653"/>
      <c r="M9" s="653"/>
      <c r="N9" s="653"/>
      <c r="O9" s="653"/>
      <c r="P9" s="653"/>
      <c r="Q9" s="653"/>
      <c r="R9" s="653"/>
      <c r="S9" s="653"/>
      <c r="T9" s="653"/>
      <c r="U9" s="653"/>
      <c r="V9" s="653"/>
      <c r="W9" s="653"/>
      <c r="X9" s="653"/>
      <c r="Y9" s="653"/>
      <c r="Z9" s="653"/>
      <c r="AA9" s="653"/>
      <c r="AB9" s="653"/>
      <c r="AC9" s="653"/>
      <c r="AD9" s="2426"/>
      <c r="AE9" s="2441"/>
    </row>
    <row r="10" spans="1:41" ht="15.75" customHeight="1">
      <c r="A10" s="651"/>
      <c r="B10" s="659"/>
      <c r="C10" s="652"/>
      <c r="D10" s="652"/>
      <c r="E10" s="2425"/>
      <c r="F10" s="2426"/>
      <c r="G10" s="2426"/>
      <c r="H10" s="2426"/>
      <c r="I10" s="2426"/>
      <c r="J10" s="2426"/>
      <c r="K10" s="2426"/>
      <c r="L10" s="653"/>
      <c r="M10" s="653"/>
      <c r="N10" s="653"/>
      <c r="O10" s="653"/>
      <c r="P10" s="653"/>
      <c r="Q10" s="653"/>
      <c r="R10" s="653"/>
      <c r="S10" s="653"/>
      <c r="T10" s="653"/>
      <c r="U10" s="653"/>
      <c r="V10" s="653"/>
      <c r="W10" s="653"/>
      <c r="X10" s="653"/>
      <c r="Y10" s="653"/>
      <c r="Z10" s="653"/>
      <c r="AA10" s="653"/>
      <c r="AB10" s="653"/>
      <c r="AC10" s="653"/>
      <c r="AD10" s="2426"/>
      <c r="AE10" s="2441"/>
      <c r="AF10" s="3361" t="s">
        <v>1630</v>
      </c>
      <c r="AG10" s="3368"/>
      <c r="AH10" s="3368"/>
      <c r="AI10" s="3368"/>
      <c r="AJ10" s="3368"/>
      <c r="AK10" s="3368"/>
      <c r="AL10" s="3368"/>
      <c r="AM10" s="3368"/>
      <c r="AN10" s="3368"/>
    </row>
    <row r="11" spans="1:41" ht="15.75" customHeight="1">
      <c r="A11" s="651"/>
      <c r="B11" s="659"/>
      <c r="C11" s="652"/>
      <c r="D11" s="652"/>
      <c r="E11" s="2428"/>
      <c r="F11" s="2429"/>
      <c r="G11" s="2429"/>
      <c r="H11" s="2429"/>
      <c r="I11" s="2429"/>
      <c r="J11" s="2429"/>
      <c r="K11" s="2429"/>
      <c r="L11" s="1656"/>
      <c r="M11" s="1656"/>
      <c r="N11" s="1656"/>
      <c r="O11" s="1656"/>
      <c r="P11" s="1656"/>
      <c r="Q11" s="1656"/>
      <c r="R11" s="1656"/>
      <c r="S11" s="1656"/>
      <c r="T11" s="1656"/>
      <c r="U11" s="1656"/>
      <c r="V11" s="1656"/>
      <c r="W11" s="1656"/>
      <c r="X11" s="1656"/>
      <c r="Y11" s="1656"/>
      <c r="Z11" s="1656"/>
      <c r="AA11" s="1656"/>
      <c r="AB11" s="1656"/>
      <c r="AC11" s="1634" t="s">
        <v>1604</v>
      </c>
      <c r="AD11" s="2429"/>
      <c r="AE11" s="2442"/>
      <c r="AF11" s="2443"/>
      <c r="AG11" s="2444"/>
      <c r="AH11" s="2444"/>
      <c r="AI11" s="2444"/>
      <c r="AJ11" s="2444"/>
      <c r="AK11" s="2444"/>
      <c r="AL11" s="2444"/>
      <c r="AM11" s="1658"/>
      <c r="AN11" s="1658"/>
    </row>
    <row r="12" spans="1:41" ht="15.75" customHeight="1">
      <c r="A12" s="660"/>
      <c r="B12" s="660"/>
      <c r="C12" s="660"/>
      <c r="D12" s="660"/>
      <c r="E12" s="1617">
        <v>2014</v>
      </c>
      <c r="F12" s="2430"/>
      <c r="G12" s="2430"/>
      <c r="H12" s="2430"/>
      <c r="I12" s="2430"/>
      <c r="J12" s="2430"/>
      <c r="K12" s="2430"/>
      <c r="L12" s="1659"/>
      <c r="M12" s="1659"/>
      <c r="N12" s="1659"/>
      <c r="O12" s="1659"/>
      <c r="P12" s="1659"/>
      <c r="Q12" s="1659"/>
      <c r="R12" s="1659"/>
      <c r="S12" s="1659"/>
      <c r="T12" s="1659"/>
      <c r="U12" s="1659"/>
      <c r="V12" s="1659"/>
      <c r="W12" s="1627">
        <v>2015</v>
      </c>
      <c r="X12" s="1659"/>
      <c r="Y12" s="1659"/>
      <c r="Z12" s="1659"/>
      <c r="AA12" s="1659"/>
      <c r="AB12" s="1659"/>
      <c r="AC12" s="1634" t="s">
        <v>1605</v>
      </c>
      <c r="AD12" s="2430"/>
      <c r="AE12" s="2430"/>
      <c r="AF12" s="2445"/>
      <c r="AG12" s="2445"/>
      <c r="AH12" s="2445"/>
      <c r="AI12" s="2445"/>
      <c r="AJ12" s="2445"/>
      <c r="AK12" s="2445"/>
      <c r="AL12" s="2446" t="s">
        <v>8</v>
      </c>
      <c r="AM12" s="1634"/>
      <c r="AN12" s="1629" t="s">
        <v>9</v>
      </c>
      <c r="AO12" s="1663"/>
    </row>
    <row r="13" spans="1:41" ht="15.75" customHeight="1">
      <c r="A13" s="227"/>
      <c r="B13" s="227"/>
      <c r="C13" s="227"/>
      <c r="D13" s="227"/>
      <c r="E13" s="1661" t="s">
        <v>131</v>
      </c>
      <c r="F13" s="310"/>
      <c r="G13" s="1661" t="s">
        <v>132</v>
      </c>
      <c r="H13" s="310"/>
      <c r="I13" s="1661" t="s">
        <v>133</v>
      </c>
      <c r="J13" s="310"/>
      <c r="K13" s="1661" t="s">
        <v>134</v>
      </c>
      <c r="L13" s="225"/>
      <c r="M13" s="1609" t="s">
        <v>135</v>
      </c>
      <c r="N13" s="225"/>
      <c r="O13" s="1609" t="s">
        <v>136</v>
      </c>
      <c r="P13" s="225"/>
      <c r="Q13" s="1609" t="s">
        <v>137</v>
      </c>
      <c r="R13" s="225"/>
      <c r="S13" s="1609" t="s">
        <v>138</v>
      </c>
      <c r="T13" s="225"/>
      <c r="U13" s="1609" t="s">
        <v>139</v>
      </c>
      <c r="V13" s="225"/>
      <c r="W13" s="1609" t="s">
        <v>156</v>
      </c>
      <c r="X13" s="225"/>
      <c r="Y13" s="1609" t="s">
        <v>141</v>
      </c>
      <c r="Z13" s="225"/>
      <c r="AA13" s="1609" t="s">
        <v>142</v>
      </c>
      <c r="AB13" s="1641"/>
      <c r="AC13" s="2364" t="s">
        <v>1606</v>
      </c>
      <c r="AD13" s="310"/>
      <c r="AE13" s="310"/>
      <c r="AF13" s="1661">
        <v>2014</v>
      </c>
      <c r="AG13" s="310"/>
      <c r="AH13" s="310"/>
      <c r="AI13" s="1661">
        <v>2013</v>
      </c>
      <c r="AJ13" s="1662"/>
      <c r="AK13" s="1662"/>
      <c r="AL13" s="2447" t="s">
        <v>13</v>
      </c>
      <c r="AM13" s="1632"/>
      <c r="AN13" s="1642" t="s">
        <v>14</v>
      </c>
      <c r="AO13" s="1663"/>
    </row>
    <row r="14" spans="1:41" ht="15.75">
      <c r="A14" s="227"/>
      <c r="B14" s="225"/>
      <c r="C14" s="225"/>
      <c r="D14" s="227"/>
      <c r="E14" s="346"/>
      <c r="F14" s="346"/>
      <c r="G14" s="346"/>
      <c r="H14" s="346"/>
      <c r="I14" s="346"/>
      <c r="J14" s="346"/>
      <c r="K14" s="346"/>
      <c r="L14" s="372"/>
      <c r="M14" s="372"/>
      <c r="N14" s="372"/>
      <c r="O14" s="372"/>
      <c r="P14" s="372"/>
      <c r="Q14" s="372"/>
      <c r="R14" s="372"/>
      <c r="S14" s="372"/>
      <c r="T14" s="372"/>
      <c r="U14" s="372"/>
      <c r="V14" s="372"/>
      <c r="W14" s="372"/>
      <c r="X14" s="372"/>
      <c r="Y14" s="372"/>
      <c r="Z14" s="372"/>
      <c r="AA14" s="372"/>
      <c r="AB14" s="372"/>
      <c r="AC14" s="1641"/>
      <c r="AD14" s="346"/>
      <c r="AE14" s="2376"/>
      <c r="AF14" s="346"/>
      <c r="AG14" s="346"/>
      <c r="AH14" s="2519"/>
      <c r="AI14" s="346"/>
      <c r="AJ14" s="346"/>
      <c r="AK14" s="2278"/>
      <c r="AL14" s="2448"/>
      <c r="AM14" s="1412"/>
      <c r="AN14" s="1412"/>
    </row>
    <row r="15" spans="1:41" ht="15.75">
      <c r="A15" s="227"/>
      <c r="B15" s="225"/>
      <c r="C15" s="225"/>
      <c r="D15" s="227"/>
      <c r="E15" s="346"/>
      <c r="F15" s="346"/>
      <c r="G15" s="346"/>
      <c r="H15" s="346"/>
      <c r="I15" s="346"/>
      <c r="J15" s="346"/>
      <c r="K15" s="346"/>
      <c r="L15" s="372"/>
      <c r="M15" s="372"/>
      <c r="N15" s="372"/>
      <c r="O15" s="372"/>
      <c r="P15" s="372"/>
      <c r="Q15" s="372"/>
      <c r="R15" s="372"/>
      <c r="S15" s="372"/>
      <c r="T15" s="372"/>
      <c r="U15" s="372"/>
      <c r="V15" s="372"/>
      <c r="W15" s="372"/>
      <c r="X15" s="372"/>
      <c r="Y15" s="372"/>
      <c r="Z15" s="372"/>
      <c r="AA15" s="372"/>
      <c r="AB15" s="372"/>
      <c r="AC15" s="372"/>
      <c r="AD15" s="346"/>
      <c r="AE15" s="2376"/>
      <c r="AF15" s="346"/>
      <c r="AG15" s="346"/>
      <c r="AH15" s="2519"/>
      <c r="AI15" s="346"/>
      <c r="AJ15" s="346"/>
      <c r="AK15" s="2278"/>
      <c r="AL15" s="2448"/>
      <c r="AM15" s="1412"/>
      <c r="AN15" s="1412"/>
    </row>
    <row r="16" spans="1:41" ht="15.75">
      <c r="A16" s="227"/>
      <c r="B16" s="225" t="s">
        <v>207</v>
      </c>
      <c r="C16" s="227"/>
      <c r="D16" s="227"/>
      <c r="E16" s="346"/>
      <c r="F16" s="346"/>
      <c r="G16" s="346"/>
      <c r="H16" s="346"/>
      <c r="I16" s="346"/>
      <c r="J16" s="346"/>
      <c r="K16" s="346"/>
      <c r="L16" s="372"/>
      <c r="M16" s="372"/>
      <c r="N16" s="372"/>
      <c r="O16" s="372"/>
      <c r="P16" s="372"/>
      <c r="Q16" s="372"/>
      <c r="R16" s="372"/>
      <c r="S16" s="372"/>
      <c r="T16" s="372"/>
      <c r="U16" s="372"/>
      <c r="V16" s="372"/>
      <c r="W16" s="372"/>
      <c r="X16" s="372"/>
      <c r="Y16" s="372"/>
      <c r="Z16" s="372"/>
      <c r="AA16" s="372"/>
      <c r="AB16" s="372"/>
      <c r="AC16" s="372"/>
      <c r="AD16" s="346"/>
      <c r="AE16" s="2376"/>
      <c r="AF16" s="346"/>
      <c r="AG16" s="2449"/>
      <c r="AH16" s="322"/>
      <c r="AI16" s="346"/>
      <c r="AJ16" s="346"/>
      <c r="AK16" s="2278"/>
      <c r="AL16" s="2450"/>
      <c r="AM16" s="662"/>
      <c r="AN16" s="662"/>
    </row>
    <row r="17" spans="1:41" ht="15.75">
      <c r="A17" s="227"/>
      <c r="B17" s="495" t="s">
        <v>1495</v>
      </c>
      <c r="C17" s="227"/>
      <c r="D17" s="227"/>
      <c r="E17" s="346"/>
      <c r="F17" s="346"/>
      <c r="G17" s="346"/>
      <c r="H17" s="346"/>
      <c r="I17" s="346"/>
      <c r="J17" s="346"/>
      <c r="K17" s="346"/>
      <c r="L17" s="372"/>
      <c r="M17" s="372"/>
      <c r="N17" s="372"/>
      <c r="O17" s="372"/>
      <c r="P17" s="372"/>
      <c r="Q17" s="372"/>
      <c r="R17" s="372"/>
      <c r="S17" s="372"/>
      <c r="T17" s="372"/>
      <c r="U17" s="372"/>
      <c r="V17" s="372"/>
      <c r="W17" s="372"/>
      <c r="X17" s="372"/>
      <c r="Y17" s="372"/>
      <c r="Z17" s="372"/>
      <c r="AA17" s="372"/>
      <c r="AB17" s="372"/>
      <c r="AC17" s="372"/>
      <c r="AD17" s="346"/>
      <c r="AE17" s="2376"/>
      <c r="AF17" s="346"/>
      <c r="AG17" s="2451"/>
      <c r="AH17" s="322"/>
      <c r="AI17" s="346"/>
      <c r="AJ17" s="346"/>
      <c r="AK17" s="2278"/>
      <c r="AL17" s="2450"/>
      <c r="AM17" s="662"/>
      <c r="AN17" s="662"/>
    </row>
    <row r="18" spans="1:41" ht="15.75">
      <c r="A18" s="227"/>
      <c r="B18" s="2346" t="s">
        <v>1513</v>
      </c>
      <c r="C18" s="227"/>
      <c r="D18" s="227"/>
      <c r="E18" s="2431"/>
      <c r="F18" s="346"/>
      <c r="G18" s="323"/>
      <c r="H18" s="323"/>
      <c r="I18" s="323"/>
      <c r="J18" s="323"/>
      <c r="K18" s="323"/>
      <c r="L18" s="265"/>
      <c r="M18" s="265"/>
      <c r="N18" s="265"/>
      <c r="O18" s="265"/>
      <c r="P18" s="265"/>
      <c r="Q18" s="265"/>
      <c r="R18" s="265"/>
      <c r="S18" s="265"/>
      <c r="T18" s="265"/>
      <c r="U18" s="265"/>
      <c r="V18" s="265"/>
      <c r="W18" s="265"/>
      <c r="X18" s="265"/>
      <c r="Y18" s="265"/>
      <c r="Z18" s="265"/>
      <c r="AA18" s="265"/>
      <c r="AB18" s="265"/>
      <c r="AC18" s="265"/>
      <c r="AD18" s="323"/>
      <c r="AE18" s="1328"/>
      <c r="AF18" s="2624" t="s">
        <v>16</v>
      </c>
      <c r="AG18" s="2408"/>
      <c r="AH18" s="266"/>
      <c r="AI18" s="323" t="s">
        <v>16</v>
      </c>
      <c r="AJ18" s="323"/>
      <c r="AK18" s="2453"/>
      <c r="AL18" s="704"/>
      <c r="AM18" s="662"/>
      <c r="AN18" s="662"/>
    </row>
    <row r="19" spans="1:41">
      <c r="A19" s="227"/>
      <c r="B19" s="1313" t="s">
        <v>1516</v>
      </c>
      <c r="C19" s="227"/>
      <c r="D19" s="369" t="s">
        <v>16</v>
      </c>
      <c r="E19" s="1981">
        <v>2.2999999999999998</v>
      </c>
      <c r="F19" s="1981"/>
      <c r="G19" s="1981">
        <v>0</v>
      </c>
      <c r="H19" s="1981"/>
      <c r="I19" s="1981">
        <v>16.3</v>
      </c>
      <c r="J19" s="1981"/>
      <c r="K19" s="1981">
        <v>1</v>
      </c>
      <c r="L19" s="1214"/>
      <c r="M19" s="1981">
        <v>0.4</v>
      </c>
      <c r="N19" s="1214"/>
      <c r="O19" s="2189">
        <v>23.5</v>
      </c>
      <c r="P19" s="1214"/>
      <c r="Q19" s="1298">
        <v>0</v>
      </c>
      <c r="R19" s="1214"/>
      <c r="S19" s="1404"/>
      <c r="T19" s="1214"/>
      <c r="U19" s="1404"/>
      <c r="V19" s="1214"/>
      <c r="W19" s="1296"/>
      <c r="X19" s="1214"/>
      <c r="Y19" s="1403"/>
      <c r="Z19" s="1214"/>
      <c r="AA19" s="1404"/>
      <c r="AB19" s="1404"/>
      <c r="AC19" s="1981">
        <v>0</v>
      </c>
      <c r="AD19" s="1982"/>
      <c r="AE19" s="3169"/>
      <c r="AF19" s="1981">
        <f>ROUND(SUM(E19:AC19),1)</f>
        <v>43.5</v>
      </c>
      <c r="AG19" s="3172"/>
      <c r="AH19" s="3173"/>
      <c r="AI19" s="1981">
        <v>40.4</v>
      </c>
      <c r="AJ19" s="3174"/>
      <c r="AK19" s="3175"/>
      <c r="AL19" s="1981">
        <f>ROUND(AF19-AI19,1)</f>
        <v>3.1</v>
      </c>
      <c r="AM19" s="2931"/>
      <c r="AN19" s="2040">
        <f>ROUND(IF(AI19=0,0,AL19/(AI19)),3)</f>
        <v>7.6999999999999999E-2</v>
      </c>
    </row>
    <row r="20" spans="1:41" ht="15.75">
      <c r="A20" s="227"/>
      <c r="B20" s="1313" t="s">
        <v>1518</v>
      </c>
      <c r="C20" s="227"/>
      <c r="D20" s="227"/>
      <c r="E20" s="1983">
        <v>32.6</v>
      </c>
      <c r="F20" s="1982"/>
      <c r="G20" s="1983">
        <v>36.200000000000003</v>
      </c>
      <c r="H20" s="1982"/>
      <c r="I20" s="1983">
        <v>29.3</v>
      </c>
      <c r="J20" s="1982"/>
      <c r="K20" s="1983">
        <v>32.200000000000003</v>
      </c>
      <c r="L20" s="1214"/>
      <c r="M20" s="1214">
        <v>39.4</v>
      </c>
      <c r="N20" s="1214"/>
      <c r="O20" s="1404">
        <v>32.6</v>
      </c>
      <c r="P20" s="265"/>
      <c r="Q20" s="522">
        <v>32.5</v>
      </c>
      <c r="R20" s="265"/>
      <c r="S20" s="522"/>
      <c r="T20" s="265"/>
      <c r="U20" s="522"/>
      <c r="V20" s="265"/>
      <c r="W20" s="522"/>
      <c r="X20" s="265"/>
      <c r="Y20" s="522"/>
      <c r="Z20" s="265"/>
      <c r="AA20" s="522"/>
      <c r="AB20" s="522"/>
      <c r="AC20" s="1245">
        <v>0</v>
      </c>
      <c r="AD20" s="323"/>
      <c r="AE20" s="1328"/>
      <c r="AF20" s="324">
        <f>ROUND(SUM(E20:AC20),1)</f>
        <v>234.8</v>
      </c>
      <c r="AG20" s="2408"/>
      <c r="AH20" s="266"/>
      <c r="AI20" s="323">
        <v>228.2</v>
      </c>
      <c r="AJ20" s="323"/>
      <c r="AK20" s="2453"/>
      <c r="AL20" s="324">
        <f>ROUND(AF20-AI20,1)</f>
        <v>6.6</v>
      </c>
      <c r="AM20" s="672"/>
      <c r="AN20" s="45">
        <f>ROUND(IF(AI20=0,0,AL20/(AI20)),3)</f>
        <v>2.9000000000000001E-2</v>
      </c>
      <c r="AO20" s="662"/>
    </row>
    <row r="21" spans="1:41" ht="15.75">
      <c r="A21" s="227"/>
      <c r="B21" s="1313" t="s">
        <v>1520</v>
      </c>
      <c r="C21" s="227"/>
      <c r="D21" s="227"/>
      <c r="E21" s="1983">
        <v>12.9</v>
      </c>
      <c r="F21" s="1982"/>
      <c r="G21" s="1983">
        <v>10.5</v>
      </c>
      <c r="H21" s="1982"/>
      <c r="I21" s="1983">
        <v>11.2</v>
      </c>
      <c r="J21" s="1982"/>
      <c r="K21" s="1983">
        <v>13.3</v>
      </c>
      <c r="L21" s="1214"/>
      <c r="M21" s="1214">
        <v>10.1</v>
      </c>
      <c r="N21" s="1214"/>
      <c r="O21" s="1404">
        <v>12.6</v>
      </c>
      <c r="P21" s="265"/>
      <c r="Q21" s="522">
        <v>13.7</v>
      </c>
      <c r="R21" s="265"/>
      <c r="S21" s="522"/>
      <c r="T21" s="265"/>
      <c r="U21" s="522"/>
      <c r="V21" s="265"/>
      <c r="W21" s="522"/>
      <c r="X21" s="265"/>
      <c r="Y21" s="522"/>
      <c r="Z21" s="265"/>
      <c r="AA21" s="522"/>
      <c r="AB21" s="522"/>
      <c r="AC21" s="1245">
        <v>0</v>
      </c>
      <c r="AD21" s="323"/>
      <c r="AE21" s="1328"/>
      <c r="AF21" s="324">
        <f>ROUND(SUM(E21:AC21),1)</f>
        <v>84.3</v>
      </c>
      <c r="AG21" s="2408"/>
      <c r="AH21" s="266"/>
      <c r="AI21" s="323">
        <v>83.7</v>
      </c>
      <c r="AJ21" s="323"/>
      <c r="AK21" s="2453"/>
      <c r="AL21" s="324">
        <f>ROUND(AF21-AI21,1)</f>
        <v>0.6</v>
      </c>
      <c r="AM21" s="672"/>
      <c r="AN21" s="45">
        <f>ROUND(IF(AI21=0,0,AL21/(AI21)),3)</f>
        <v>7.0000000000000001E-3</v>
      </c>
    </row>
    <row r="22" spans="1:41" ht="15.75">
      <c r="A22" s="227"/>
      <c r="B22" s="594" t="s">
        <v>1689</v>
      </c>
      <c r="C22" s="227"/>
      <c r="D22" s="227"/>
      <c r="E22" s="1327">
        <f>ROUND(SUM(E19:E21),1)</f>
        <v>47.8</v>
      </c>
      <c r="F22" s="1982"/>
      <c r="G22" s="1327">
        <f>ROUND(SUM(G19:G21),1)</f>
        <v>46.7</v>
      </c>
      <c r="H22" s="1982"/>
      <c r="I22" s="1327">
        <f>ROUND(SUM(I19:I21),1)</f>
        <v>56.8</v>
      </c>
      <c r="J22" s="1982"/>
      <c r="K22" s="1327">
        <f>ROUND(SUM(K19:K21),1)</f>
        <v>46.5</v>
      </c>
      <c r="L22" s="1214"/>
      <c r="M22" s="1327">
        <f>ROUND(SUM(M19:M21),1)</f>
        <v>49.9</v>
      </c>
      <c r="N22" s="1214"/>
      <c r="O22" s="1327">
        <f>ROUND(SUM(O19:O21),1)</f>
        <v>68.7</v>
      </c>
      <c r="P22" s="265"/>
      <c r="Q22" s="1327">
        <f>ROUND(SUM(Q19:Q21),1)</f>
        <v>46.2</v>
      </c>
      <c r="R22" s="265"/>
      <c r="S22" s="1327">
        <f>ROUND(SUM(S19:S21),1)</f>
        <v>0</v>
      </c>
      <c r="T22" s="265"/>
      <c r="U22" s="1327">
        <f>ROUND(SUM(U19:U21),1)</f>
        <v>0</v>
      </c>
      <c r="V22" s="265"/>
      <c r="W22" s="1327">
        <f>ROUND(SUM(W19:W21),1)</f>
        <v>0</v>
      </c>
      <c r="X22" s="265"/>
      <c r="Y22" s="1327">
        <f>ROUND(SUM(Y19:Y21),1)</f>
        <v>0</v>
      </c>
      <c r="Z22" s="265"/>
      <c r="AA22" s="1327">
        <f>ROUND(SUM(AA19:AA21),1)</f>
        <v>0</v>
      </c>
      <c r="AB22" s="320"/>
      <c r="AC22" s="1327">
        <f>ROUND(SUM(AC19:AC21),1)</f>
        <v>0</v>
      </c>
      <c r="AD22" s="323"/>
      <c r="AE22" s="1328"/>
      <c r="AF22" s="1327">
        <f>ROUND(SUM(AF19:AF21),1)</f>
        <v>362.6</v>
      </c>
      <c r="AG22" s="2412"/>
      <c r="AH22" s="266"/>
      <c r="AI22" s="1327">
        <f>ROUND(SUM(AI19:AI21),1)</f>
        <v>352.3</v>
      </c>
      <c r="AJ22" s="323"/>
      <c r="AK22" s="2453"/>
      <c r="AL22" s="1327">
        <f>ROUND(SUM(AL19:AL21),1)</f>
        <v>10.3</v>
      </c>
      <c r="AM22" s="672"/>
      <c r="AN22" s="74">
        <f>ROUND(IF(AI22=0,0,AL22/(AI22)),3)</f>
        <v>2.9000000000000001E-2</v>
      </c>
    </row>
    <row r="23" spans="1:41" ht="15.75">
      <c r="A23" s="227"/>
      <c r="B23" s="2346" t="s">
        <v>1501</v>
      </c>
      <c r="C23" s="227"/>
      <c r="D23" s="227"/>
      <c r="E23" s="1982"/>
      <c r="F23" s="1982"/>
      <c r="G23" s="1982"/>
      <c r="H23" s="1982"/>
      <c r="I23" s="1982"/>
      <c r="J23" s="1982"/>
      <c r="K23" s="1982"/>
      <c r="L23" s="1214"/>
      <c r="M23" s="1214"/>
      <c r="N23" s="1214"/>
      <c r="O23" s="1404"/>
      <c r="P23" s="265"/>
      <c r="Q23" s="522"/>
      <c r="R23" s="265"/>
      <c r="S23" s="522"/>
      <c r="T23" s="265"/>
      <c r="U23" s="522"/>
      <c r="V23" s="265"/>
      <c r="W23" s="674"/>
      <c r="X23" s="265"/>
      <c r="Y23" s="522"/>
      <c r="Z23" s="265"/>
      <c r="AA23" s="674"/>
      <c r="AB23" s="674"/>
      <c r="AC23" s="674"/>
      <c r="AD23" s="323"/>
      <c r="AE23" s="1328"/>
      <c r="AF23" s="324"/>
      <c r="AG23" s="2408"/>
      <c r="AH23" s="266"/>
      <c r="AI23" s="324"/>
      <c r="AJ23" s="323"/>
      <c r="AK23" s="2453"/>
      <c r="AL23" s="324"/>
      <c r="AM23" s="662"/>
      <c r="AN23" s="670"/>
    </row>
    <row r="24" spans="1:41" ht="15.75">
      <c r="A24" s="227"/>
      <c r="B24" s="1313" t="s">
        <v>1523</v>
      </c>
      <c r="C24" s="227"/>
      <c r="D24" s="227"/>
      <c r="E24" s="1982">
        <v>0</v>
      </c>
      <c r="F24" s="1982"/>
      <c r="G24" s="1982">
        <v>0</v>
      </c>
      <c r="H24" s="1982"/>
      <c r="I24" s="1982">
        <v>0</v>
      </c>
      <c r="J24" s="1982"/>
      <c r="K24" s="1982">
        <v>0</v>
      </c>
      <c r="L24" s="1214"/>
      <c r="M24" s="1214">
        <v>0</v>
      </c>
      <c r="N24" s="1214"/>
      <c r="O24" s="1404">
        <v>0</v>
      </c>
      <c r="P24" s="265"/>
      <c r="Q24" s="522">
        <v>0</v>
      </c>
      <c r="R24" s="265"/>
      <c r="S24" s="522"/>
      <c r="T24" s="265"/>
      <c r="U24" s="522"/>
      <c r="V24" s="265"/>
      <c r="W24" s="674"/>
      <c r="X24" s="265"/>
      <c r="Y24" s="522"/>
      <c r="Z24" s="265"/>
      <c r="AA24" s="674"/>
      <c r="AB24" s="674"/>
      <c r="AC24" s="1245">
        <v>0</v>
      </c>
      <c r="AD24" s="323"/>
      <c r="AE24" s="1328"/>
      <c r="AF24" s="324">
        <f>ROUND(SUM(E24:AC24),1)</f>
        <v>0</v>
      </c>
      <c r="AG24" s="2412"/>
      <c r="AH24" s="266"/>
      <c r="AI24" s="324">
        <v>0</v>
      </c>
      <c r="AJ24" s="323"/>
      <c r="AK24" s="2453"/>
      <c r="AL24" s="324">
        <f>ROUND(AF24-AI24,1)</f>
        <v>0</v>
      </c>
      <c r="AM24" s="662"/>
      <c r="AN24" s="45">
        <f>ROUND(IF(AI24=0,0,AL24/(AI24)),3)</f>
        <v>0</v>
      </c>
    </row>
    <row r="25" spans="1:41" ht="15.75">
      <c r="A25" s="227"/>
      <c r="B25" s="1313" t="s">
        <v>1524</v>
      </c>
      <c r="C25" s="227"/>
      <c r="D25" s="227"/>
      <c r="E25" s="1982">
        <v>0.1</v>
      </c>
      <c r="F25" s="1982"/>
      <c r="G25" s="1982">
        <v>-0.1</v>
      </c>
      <c r="H25" s="1982"/>
      <c r="I25" s="1982">
        <v>2.1</v>
      </c>
      <c r="J25" s="1982"/>
      <c r="K25" s="1982">
        <v>0.1</v>
      </c>
      <c r="L25" s="1214"/>
      <c r="M25" s="1214">
        <v>0</v>
      </c>
      <c r="N25" s="1214"/>
      <c r="O25" s="1404">
        <v>2.4</v>
      </c>
      <c r="P25" s="265"/>
      <c r="Q25" s="522">
        <v>0.1</v>
      </c>
      <c r="R25" s="265"/>
      <c r="S25" s="522"/>
      <c r="T25" s="265"/>
      <c r="U25" s="522"/>
      <c r="V25" s="265"/>
      <c r="W25" s="674"/>
      <c r="X25" s="265"/>
      <c r="Y25" s="522"/>
      <c r="Z25" s="265"/>
      <c r="AA25" s="674"/>
      <c r="AB25" s="674"/>
      <c r="AC25" s="1245">
        <v>0</v>
      </c>
      <c r="AD25" s="323"/>
      <c r="AE25" s="1328"/>
      <c r="AF25" s="324">
        <f>ROUND(SUM(E25:AC25),1)</f>
        <v>4.7</v>
      </c>
      <c r="AG25" s="2412"/>
      <c r="AH25" s="266"/>
      <c r="AI25" s="324">
        <v>3.7</v>
      </c>
      <c r="AJ25" s="323"/>
      <c r="AK25" s="2453"/>
      <c r="AL25" s="324">
        <f>ROUND(AF25-AI25,1)</f>
        <v>1</v>
      </c>
      <c r="AM25" s="662"/>
      <c r="AN25" s="45">
        <f>ROUND(IF(AI25=0,0,AL25/(AI25)),3)</f>
        <v>0.27</v>
      </c>
    </row>
    <row r="26" spans="1:41" ht="15.75">
      <c r="A26" s="227"/>
      <c r="B26" s="1313" t="s">
        <v>1527</v>
      </c>
      <c r="C26" s="225"/>
      <c r="D26" s="227"/>
      <c r="E26" s="1983">
        <v>54.7</v>
      </c>
      <c r="F26" s="1982"/>
      <c r="G26" s="1983">
        <v>51.4</v>
      </c>
      <c r="H26" s="1982"/>
      <c r="I26" s="1983">
        <v>60.7</v>
      </c>
      <c r="J26" s="1982"/>
      <c r="K26" s="1983">
        <v>52.6</v>
      </c>
      <c r="L26" s="1214"/>
      <c r="M26" s="1214">
        <v>63.2</v>
      </c>
      <c r="N26" s="1214"/>
      <c r="O26" s="1404">
        <v>57.8</v>
      </c>
      <c r="P26" s="265"/>
      <c r="Q26" s="522">
        <v>52.9</v>
      </c>
      <c r="R26" s="265"/>
      <c r="S26" s="522"/>
      <c r="T26" s="265"/>
      <c r="U26" s="522"/>
      <c r="V26" s="265"/>
      <c r="W26" s="522"/>
      <c r="X26" s="265"/>
      <c r="Y26" s="522"/>
      <c r="Z26" s="265"/>
      <c r="AA26" s="522"/>
      <c r="AB26" s="522"/>
      <c r="AC26" s="1245">
        <v>0</v>
      </c>
      <c r="AD26" s="323"/>
      <c r="AE26" s="1328"/>
      <c r="AF26" s="324">
        <f>ROUND(SUM(E26:AC26),1)</f>
        <v>393.3</v>
      </c>
      <c r="AG26" s="2408"/>
      <c r="AH26" s="266"/>
      <c r="AI26" s="323">
        <v>386.5</v>
      </c>
      <c r="AJ26" s="323"/>
      <c r="AK26" s="2453"/>
      <c r="AL26" s="324">
        <f>ROUND(AF26-AI26,1)</f>
        <v>6.8</v>
      </c>
      <c r="AM26" s="672"/>
      <c r="AN26" s="2004">
        <f>ROUND(IF(AI26=0,0,AL26/(AI26)),3)</f>
        <v>1.7999999999999999E-2</v>
      </c>
    </row>
    <row r="27" spans="1:41" ht="15.75">
      <c r="A27" s="227"/>
      <c r="B27" s="594" t="s">
        <v>1690</v>
      </c>
      <c r="C27" s="225"/>
      <c r="D27" s="227"/>
      <c r="E27" s="1327">
        <f>ROUND(SUM(E24:E26),1)</f>
        <v>54.8</v>
      </c>
      <c r="F27" s="1982"/>
      <c r="G27" s="1327">
        <f>ROUND(SUM(G24:G26),1)</f>
        <v>51.3</v>
      </c>
      <c r="H27" s="1982"/>
      <c r="I27" s="1327">
        <f>ROUND(SUM(I24:I26),1)</f>
        <v>62.8</v>
      </c>
      <c r="J27" s="1982"/>
      <c r="K27" s="1327">
        <f>ROUND(SUM(K24:K26),1)</f>
        <v>52.7</v>
      </c>
      <c r="L27" s="1214"/>
      <c r="M27" s="1327">
        <f>ROUND(SUM(M24:M26),1)</f>
        <v>63.2</v>
      </c>
      <c r="N27" s="1214"/>
      <c r="O27" s="1327">
        <f>ROUND(SUM(O24:O26),1)</f>
        <v>60.2</v>
      </c>
      <c r="P27" s="265"/>
      <c r="Q27" s="1327">
        <f>ROUND(SUM(Q24:Q26),1)</f>
        <v>53</v>
      </c>
      <c r="R27" s="265"/>
      <c r="S27" s="1327">
        <f>ROUND(SUM(S24:S26),1)</f>
        <v>0</v>
      </c>
      <c r="T27" s="265"/>
      <c r="U27" s="1327">
        <f>ROUND(SUM(U24:U26),1)</f>
        <v>0</v>
      </c>
      <c r="V27" s="265"/>
      <c r="W27" s="1327">
        <f>ROUND(SUM(W24:W26),1)</f>
        <v>0</v>
      </c>
      <c r="X27" s="265"/>
      <c r="Y27" s="1327">
        <f>ROUND(SUM(Y24:Y26),1)</f>
        <v>0</v>
      </c>
      <c r="Z27" s="265"/>
      <c r="AA27" s="1327">
        <f>ROUND(SUM(AA24:AA26),1)</f>
        <v>0</v>
      </c>
      <c r="AB27" s="320"/>
      <c r="AC27" s="1327">
        <f>ROUND(SUM(AC24:AC26),1)</f>
        <v>0</v>
      </c>
      <c r="AD27" s="323"/>
      <c r="AE27" s="1328"/>
      <c r="AF27" s="1327">
        <f>ROUND(SUM(AF24:AF26),1)</f>
        <v>398</v>
      </c>
      <c r="AG27" s="2412"/>
      <c r="AH27" s="266"/>
      <c r="AI27" s="1327">
        <f>ROUND(SUM(AI24:AI26),1)</f>
        <v>390.2</v>
      </c>
      <c r="AJ27" s="323"/>
      <c r="AK27" s="2453"/>
      <c r="AL27" s="1327">
        <f>ROUND(SUM(AL24:AL26),1)</f>
        <v>7.8</v>
      </c>
      <c r="AM27" s="672"/>
      <c r="AN27" s="2230">
        <f>ROUND(IF(AI27=0,0,AL27/(AI27)),3)</f>
        <v>0.02</v>
      </c>
    </row>
    <row r="28" spans="1:41" ht="15.75">
      <c r="A28" s="227"/>
      <c r="B28" s="2346" t="s">
        <v>1502</v>
      </c>
      <c r="C28" s="227"/>
      <c r="D28" s="227"/>
      <c r="E28" s="2521"/>
      <c r="F28" s="1982"/>
      <c r="G28" s="2521"/>
      <c r="H28" s="1982"/>
      <c r="I28" s="1983"/>
      <c r="J28" s="1982"/>
      <c r="K28" s="1983"/>
      <c r="L28" s="1214"/>
      <c r="M28" s="1214"/>
      <c r="N28" s="1214"/>
      <c r="O28" s="1404"/>
      <c r="P28" s="265"/>
      <c r="Q28" s="522"/>
      <c r="R28" s="265"/>
      <c r="S28" s="522"/>
      <c r="T28" s="265"/>
      <c r="U28" s="522"/>
      <c r="V28" s="265"/>
      <c r="W28" s="522"/>
      <c r="X28" s="265"/>
      <c r="Y28" s="522"/>
      <c r="Z28" s="265"/>
      <c r="AA28" s="522"/>
      <c r="AB28" s="522"/>
      <c r="AC28" s="522"/>
      <c r="AD28" s="323"/>
      <c r="AE28" s="1328"/>
      <c r="AF28" s="324"/>
      <c r="AG28" s="2454"/>
      <c r="AH28" s="267"/>
      <c r="AI28" s="323"/>
      <c r="AJ28" s="324"/>
      <c r="AK28" s="2409"/>
      <c r="AL28" s="324"/>
      <c r="AM28" s="669"/>
      <c r="AN28" s="45"/>
      <c r="AO28" s="662"/>
    </row>
    <row r="29" spans="1:41" ht="15.75">
      <c r="A29" s="227"/>
      <c r="B29" s="1313" t="s">
        <v>1533</v>
      </c>
      <c r="C29" s="227"/>
      <c r="D29" s="227"/>
      <c r="E29" s="2521">
        <v>0</v>
      </c>
      <c r="F29" s="1982"/>
      <c r="G29" s="2521">
        <v>0</v>
      </c>
      <c r="H29" s="1982"/>
      <c r="I29" s="1983">
        <v>11.9</v>
      </c>
      <c r="J29" s="1982"/>
      <c r="K29" s="1983">
        <v>11.9</v>
      </c>
      <c r="L29" s="1214"/>
      <c r="M29" s="1214">
        <v>11.9</v>
      </c>
      <c r="N29" s="1214"/>
      <c r="O29" s="1404">
        <v>11.9</v>
      </c>
      <c r="P29" s="265"/>
      <c r="Q29" s="522">
        <v>12</v>
      </c>
      <c r="R29" s="265"/>
      <c r="S29" s="522"/>
      <c r="T29" s="265"/>
      <c r="U29" s="522"/>
      <c r="V29" s="265"/>
      <c r="W29" s="522"/>
      <c r="X29" s="265"/>
      <c r="Y29" s="522"/>
      <c r="Z29" s="265"/>
      <c r="AA29" s="522"/>
      <c r="AB29" s="522"/>
      <c r="AC29" s="1245">
        <v>0</v>
      </c>
      <c r="AD29" s="323"/>
      <c r="AE29" s="1328"/>
      <c r="AF29" s="324">
        <f>ROUND(SUM(E29:AC29),1)</f>
        <v>59.6</v>
      </c>
      <c r="AG29" s="2458"/>
      <c r="AH29" s="267"/>
      <c r="AI29" s="323">
        <v>59.6</v>
      </c>
      <c r="AJ29" s="324"/>
      <c r="AK29" s="2409"/>
      <c r="AL29" s="324">
        <f>ROUND(AF29-AI29,1)</f>
        <v>0</v>
      </c>
      <c r="AM29" s="669"/>
      <c r="AN29" s="2004">
        <f>ROUND(IF(AI29=0,0,AL29/(AI29)),3)</f>
        <v>0</v>
      </c>
      <c r="AO29" s="662"/>
    </row>
    <row r="30" spans="1:41" ht="15.75">
      <c r="A30" s="594" t="s">
        <v>1695</v>
      </c>
      <c r="B30" s="225"/>
      <c r="C30" s="227"/>
      <c r="D30" s="227"/>
      <c r="E30" s="1327">
        <f>ROUND(SUM(E29:E29),1)</f>
        <v>0</v>
      </c>
      <c r="F30" s="1982"/>
      <c r="G30" s="1327">
        <f>ROUND(SUM(G29:G29),1)</f>
        <v>0</v>
      </c>
      <c r="H30" s="1982"/>
      <c r="I30" s="1327">
        <f>ROUND(SUM(I29:I29),1)</f>
        <v>11.9</v>
      </c>
      <c r="J30" s="1982"/>
      <c r="K30" s="1327">
        <f>ROUND(SUM(K29:K29),1)</f>
        <v>11.9</v>
      </c>
      <c r="L30" s="1214"/>
      <c r="M30" s="1327">
        <f>ROUND(SUM(M29:M29),1)</f>
        <v>11.9</v>
      </c>
      <c r="N30" s="1214"/>
      <c r="O30" s="1327">
        <f>ROUND(SUM(O29:O29),1)</f>
        <v>11.9</v>
      </c>
      <c r="P30" s="265"/>
      <c r="Q30" s="1327">
        <f>ROUND(SUM(Q29:Q29),1)</f>
        <v>12</v>
      </c>
      <c r="R30" s="265"/>
      <c r="S30" s="1327">
        <f>ROUND(SUM(S29:S29),1)</f>
        <v>0</v>
      </c>
      <c r="T30" s="265"/>
      <c r="U30" s="1327">
        <f>ROUND(SUM(U29:U29),1)</f>
        <v>0</v>
      </c>
      <c r="V30" s="265"/>
      <c r="W30" s="1327">
        <f>ROUND(SUM(W29:W29),1)</f>
        <v>0</v>
      </c>
      <c r="X30" s="265"/>
      <c r="Y30" s="1327">
        <f>ROUND(SUM(Y29:Y29),1)</f>
        <v>0</v>
      </c>
      <c r="Z30" s="265"/>
      <c r="AA30" s="1327">
        <f>ROUND(SUM(AA29:AA29),1)</f>
        <v>0</v>
      </c>
      <c r="AB30" s="320"/>
      <c r="AC30" s="1327">
        <f>ROUND(SUM(AC29:AC29),1)</f>
        <v>0</v>
      </c>
      <c r="AD30" s="323"/>
      <c r="AE30" s="1328"/>
      <c r="AF30" s="1327">
        <f>ROUND(SUM(AF29:AF29),1)</f>
        <v>59.6</v>
      </c>
      <c r="AG30" s="2458"/>
      <c r="AH30" s="267"/>
      <c r="AI30" s="1327">
        <f>ROUND(SUM(AI29:AI29),1)</f>
        <v>59.6</v>
      </c>
      <c r="AJ30" s="324"/>
      <c r="AK30" s="2409"/>
      <c r="AL30" s="1327">
        <f>ROUND(SUM(AL29:AL29),1)</f>
        <v>0</v>
      </c>
      <c r="AM30" s="669"/>
      <c r="AN30" s="74">
        <f>ROUND(IF(AI30=0,0,AL30/(AI30)),3)</f>
        <v>0</v>
      </c>
      <c r="AO30" s="662"/>
    </row>
    <row r="31" spans="1:41" ht="15.75">
      <c r="A31" s="227"/>
      <c r="B31" s="225"/>
      <c r="C31" s="227"/>
      <c r="D31" s="227"/>
      <c r="E31" s="2521"/>
      <c r="F31" s="1982"/>
      <c r="G31" s="2521"/>
      <c r="H31" s="1982"/>
      <c r="I31" s="1983"/>
      <c r="J31" s="1982"/>
      <c r="K31" s="1983"/>
      <c r="L31" s="1214"/>
      <c r="M31" s="1214"/>
      <c r="N31" s="1214"/>
      <c r="O31" s="1404"/>
      <c r="P31" s="265"/>
      <c r="Q31" s="522"/>
      <c r="R31" s="265"/>
      <c r="S31" s="522"/>
      <c r="T31" s="265"/>
      <c r="U31" s="522"/>
      <c r="V31" s="265"/>
      <c r="W31" s="522"/>
      <c r="X31" s="265"/>
      <c r="Y31" s="522"/>
      <c r="Z31" s="265"/>
      <c r="AA31" s="522"/>
      <c r="AB31" s="522"/>
      <c r="AC31" s="522"/>
      <c r="AD31" s="323"/>
      <c r="AE31" s="1328"/>
      <c r="AF31" s="324"/>
      <c r="AG31" s="2458"/>
      <c r="AH31" s="267"/>
      <c r="AI31" s="323"/>
      <c r="AJ31" s="324"/>
      <c r="AK31" s="2409"/>
      <c r="AL31" s="324"/>
      <c r="AM31" s="669"/>
      <c r="AN31" s="2514"/>
      <c r="AO31" s="662"/>
    </row>
    <row r="32" spans="1:41" s="667" customFormat="1" ht="15.75">
      <c r="A32" s="225"/>
      <c r="B32" s="594" t="s">
        <v>1498</v>
      </c>
      <c r="C32" s="225"/>
      <c r="D32" s="225"/>
      <c r="E32" s="2350">
        <f>ROUND(SUM(+E27+E22+E30),1)</f>
        <v>102.6</v>
      </c>
      <c r="F32" s="317"/>
      <c r="G32" s="2350">
        <f>ROUND(SUM(+G27+G22+G30),1)</f>
        <v>98</v>
      </c>
      <c r="H32" s="317"/>
      <c r="I32" s="2350">
        <f>ROUND(SUM(+I27+I22+I30),1)</f>
        <v>131.5</v>
      </c>
      <c r="J32" s="317"/>
      <c r="K32" s="2350">
        <f>ROUND(SUM(+K27+K22+K30),1)</f>
        <v>111.1</v>
      </c>
      <c r="L32" s="2154"/>
      <c r="M32" s="2350">
        <f>ROUND(SUM(+M27+M22+M30),1)</f>
        <v>125</v>
      </c>
      <c r="N32" s="2154"/>
      <c r="O32" s="2350">
        <f>ROUND(SUM(+O27+O22+O30),1)</f>
        <v>140.80000000000001</v>
      </c>
      <c r="P32" s="2154"/>
      <c r="Q32" s="2350">
        <f>ROUND(SUM(+Q27+Q22+Q30),1)</f>
        <v>111.2</v>
      </c>
      <c r="R32" s="2154"/>
      <c r="S32" s="2350">
        <f>ROUND(SUM(+S27+S22+S30),1)</f>
        <v>0</v>
      </c>
      <c r="T32" s="2154"/>
      <c r="U32" s="2350">
        <f>ROUND(SUM(+U27+U22+U30),1)</f>
        <v>0</v>
      </c>
      <c r="V32" s="2154"/>
      <c r="W32" s="2350">
        <f>ROUND(SUM(+W27+W22+W30),1)</f>
        <v>0</v>
      </c>
      <c r="X32" s="2154"/>
      <c r="Y32" s="2350">
        <f>ROUND(SUM(+Y27+Y22+Y30),1)</f>
        <v>0</v>
      </c>
      <c r="Z32" s="2154"/>
      <c r="AA32" s="2350">
        <f>ROUND(SUM(+AA27+AA22+AA30),1)</f>
        <v>0</v>
      </c>
      <c r="AB32" s="2353"/>
      <c r="AC32" s="2350">
        <f>ROUND(SUM(+AC27+AC22+AC30),1)</f>
        <v>0</v>
      </c>
      <c r="AD32" s="317"/>
      <c r="AE32" s="1329"/>
      <c r="AF32" s="2350">
        <f>ROUND(SUM(+AF27+AF22+AF30),1)</f>
        <v>820.2</v>
      </c>
      <c r="AG32" s="2455"/>
      <c r="AH32" s="2456"/>
      <c r="AI32" s="2350">
        <f>ROUND(SUM(+AI27+AI22+AI30),1)</f>
        <v>802.1</v>
      </c>
      <c r="AJ32" s="2457"/>
      <c r="AK32" s="2409"/>
      <c r="AL32" s="2350">
        <f>ROUND(SUM(+AL27+AL22+AL30),1)</f>
        <v>18.100000000000001</v>
      </c>
      <c r="AM32" s="1631"/>
      <c r="AN32" s="2230">
        <f>ROUND(IF(AI32=0,0,AL32/(AI32)),3)</f>
        <v>2.3E-2</v>
      </c>
      <c r="AO32" s="680"/>
    </row>
    <row r="33" spans="1:41" ht="15.75">
      <c r="A33" s="227"/>
      <c r="B33" s="1407"/>
      <c r="C33" s="227"/>
      <c r="D33" s="227"/>
      <c r="E33" s="2521"/>
      <c r="F33" s="1982"/>
      <c r="G33" s="2521"/>
      <c r="H33" s="1982"/>
      <c r="I33" s="1983"/>
      <c r="J33" s="1982"/>
      <c r="K33" s="1983"/>
      <c r="L33" s="1214"/>
      <c r="M33" s="1214"/>
      <c r="N33" s="1214"/>
      <c r="O33" s="1404"/>
      <c r="P33" s="265"/>
      <c r="Q33" s="522"/>
      <c r="R33" s="265"/>
      <c r="S33" s="522"/>
      <c r="T33" s="265"/>
      <c r="U33" s="522"/>
      <c r="V33" s="265"/>
      <c r="W33" s="522"/>
      <c r="X33" s="265"/>
      <c r="Y33" s="522"/>
      <c r="Z33" s="265"/>
      <c r="AA33" s="522"/>
      <c r="AB33" s="522"/>
      <c r="AC33" s="522"/>
      <c r="AD33" s="323"/>
      <c r="AE33" s="1328"/>
      <c r="AF33" s="324"/>
      <c r="AG33" s="2458"/>
      <c r="AH33" s="267"/>
      <c r="AI33" s="323"/>
      <c r="AJ33" s="324"/>
      <c r="AK33" s="2409"/>
      <c r="AL33" s="324"/>
      <c r="AM33" s="669"/>
      <c r="AN33" s="45"/>
      <c r="AO33" s="662"/>
    </row>
    <row r="34" spans="1:41" ht="15.75">
      <c r="A34" s="227"/>
      <c r="B34" s="495" t="s">
        <v>1428</v>
      </c>
      <c r="C34" s="227"/>
      <c r="D34" s="227"/>
      <c r="E34" s="1983"/>
      <c r="F34" s="1982"/>
      <c r="G34" s="1983"/>
      <c r="H34" s="1982"/>
      <c r="I34" s="1983"/>
      <c r="J34" s="1982"/>
      <c r="K34" s="1983"/>
      <c r="L34" s="1214"/>
      <c r="M34" s="1214"/>
      <c r="N34" s="1214"/>
      <c r="O34" s="1404"/>
      <c r="P34" s="265"/>
      <c r="Q34" s="522"/>
      <c r="R34" s="265"/>
      <c r="S34" s="522"/>
      <c r="T34" s="265"/>
      <c r="U34" s="522"/>
      <c r="V34" s="265"/>
      <c r="W34" s="522"/>
      <c r="X34" s="265"/>
      <c r="Y34" s="522"/>
      <c r="Z34" s="265"/>
      <c r="AA34" s="522"/>
      <c r="AB34" s="522"/>
      <c r="AC34" s="522"/>
      <c r="AD34" s="323"/>
      <c r="AE34" s="1328"/>
      <c r="AF34" s="324"/>
      <c r="AG34" s="2408"/>
      <c r="AH34" s="266"/>
      <c r="AI34" s="323"/>
      <c r="AJ34" s="324"/>
      <c r="AK34" s="2409"/>
      <c r="AL34" s="324"/>
      <c r="AM34" s="2410"/>
      <c r="AN34" s="2411"/>
    </row>
    <row r="35" spans="1:41" ht="15.75">
      <c r="A35" s="227"/>
      <c r="B35" s="1979" t="s">
        <v>1561</v>
      </c>
      <c r="C35" s="1407"/>
      <c r="D35" s="227"/>
      <c r="E35" s="1983"/>
      <c r="F35" s="1982"/>
      <c r="G35" s="1983"/>
      <c r="H35" s="1982"/>
      <c r="I35" s="1983"/>
      <c r="J35" s="1982"/>
      <c r="K35" s="1983"/>
      <c r="L35" s="1214"/>
      <c r="M35" s="1214"/>
      <c r="N35" s="1214"/>
      <c r="O35" s="1404"/>
      <c r="P35" s="265"/>
      <c r="Q35" s="522"/>
      <c r="R35" s="265"/>
      <c r="S35" s="522"/>
      <c r="T35" s="265"/>
      <c r="U35" s="522"/>
      <c r="V35" s="265"/>
      <c r="W35" s="522"/>
      <c r="X35" s="265"/>
      <c r="Y35" s="522"/>
      <c r="Z35" s="265"/>
      <c r="AA35" s="522"/>
      <c r="AB35" s="522"/>
      <c r="AC35" s="522"/>
      <c r="AD35" s="323"/>
      <c r="AE35" s="1328"/>
      <c r="AF35" s="324"/>
      <c r="AG35" s="2412"/>
      <c r="AH35" s="266"/>
      <c r="AI35" s="323"/>
      <c r="AJ35" s="324"/>
      <c r="AK35" s="2409"/>
      <c r="AL35" s="324"/>
      <c r="AM35" s="672"/>
      <c r="AN35" s="670"/>
    </row>
    <row r="36" spans="1:41" ht="15.75">
      <c r="A36" s="227"/>
      <c r="B36" s="1979" t="s">
        <v>1462</v>
      </c>
      <c r="C36" s="1407"/>
      <c r="D36" s="227"/>
      <c r="E36" s="1983">
        <v>0</v>
      </c>
      <c r="F36" s="1982"/>
      <c r="G36" s="1983">
        <v>0</v>
      </c>
      <c r="H36" s="1982"/>
      <c r="I36" s="1983">
        <v>15</v>
      </c>
      <c r="J36" s="1982"/>
      <c r="K36" s="1983">
        <f>8</f>
        <v>8</v>
      </c>
      <c r="L36" s="1214"/>
      <c r="M36" s="1214">
        <v>0</v>
      </c>
      <c r="N36" s="1214"/>
      <c r="O36" s="1404">
        <v>0</v>
      </c>
      <c r="P36" s="265"/>
      <c r="Q36" s="522">
        <v>0</v>
      </c>
      <c r="R36" s="265"/>
      <c r="S36" s="522"/>
      <c r="T36" s="265"/>
      <c r="U36" s="522"/>
      <c r="V36" s="265"/>
      <c r="W36" s="522"/>
      <c r="X36" s="265"/>
      <c r="Y36" s="522"/>
      <c r="Z36" s="265"/>
      <c r="AA36" s="522"/>
      <c r="AB36" s="522"/>
      <c r="AC36" s="1245">
        <v>0</v>
      </c>
      <c r="AD36" s="323"/>
      <c r="AE36" s="1328"/>
      <c r="AF36" s="324">
        <f>ROUND(SUM(E36:AC36),1)</f>
        <v>23</v>
      </c>
      <c r="AG36" s="2412"/>
      <c r="AH36" s="266"/>
      <c r="AI36" s="2406">
        <v>15</v>
      </c>
      <c r="AJ36" s="324"/>
      <c r="AK36" s="2409"/>
      <c r="AL36" s="324">
        <f t="shared" ref="AL36:AL55" si="0">ROUND(AF36-AI36,1)</f>
        <v>8</v>
      </c>
      <c r="AM36" s="672"/>
      <c r="AN36" s="3234">
        <f>ROUND(IF(AI36=0,0,AL36/(AI36)),3)</f>
        <v>0.53300000000000003</v>
      </c>
    </row>
    <row r="37" spans="1:41" ht="15.75">
      <c r="A37" s="227"/>
      <c r="B37" s="1979" t="s">
        <v>1562</v>
      </c>
      <c r="C37" s="1407"/>
      <c r="D37" s="227"/>
      <c r="E37" s="1983"/>
      <c r="F37" s="1982"/>
      <c r="G37" s="1983"/>
      <c r="H37" s="1982"/>
      <c r="I37" s="1983"/>
      <c r="J37" s="1982"/>
      <c r="K37" s="1983"/>
      <c r="L37" s="1214"/>
      <c r="M37" s="1214"/>
      <c r="N37" s="1214"/>
      <c r="O37" s="1404"/>
      <c r="P37" s="265"/>
      <c r="Q37" s="522"/>
      <c r="R37" s="265"/>
      <c r="S37" s="522"/>
      <c r="T37" s="265"/>
      <c r="U37" s="522"/>
      <c r="V37" s="265"/>
      <c r="W37" s="522"/>
      <c r="X37" s="265"/>
      <c r="Y37" s="522"/>
      <c r="Z37" s="265"/>
      <c r="AA37" s="522"/>
      <c r="AB37" s="522"/>
      <c r="AC37" s="522"/>
      <c r="AD37" s="323"/>
      <c r="AE37" s="1328"/>
      <c r="AF37" s="2407"/>
      <c r="AG37" s="2412"/>
      <c r="AH37" s="266"/>
      <c r="AI37" s="2406"/>
      <c r="AJ37" s="324"/>
      <c r="AK37" s="2409"/>
      <c r="AL37" s="324"/>
      <c r="AM37" s="672"/>
      <c r="AN37" s="3287"/>
    </row>
    <row r="38" spans="1:41" ht="15.75">
      <c r="A38" s="227"/>
      <c r="B38" s="1979" t="s">
        <v>1463</v>
      </c>
      <c r="C38" s="1407"/>
      <c r="D38" s="227"/>
      <c r="E38" s="1983">
        <v>8.8000000000000007</v>
      </c>
      <c r="F38" s="1982"/>
      <c r="G38" s="1983">
        <f>17.1-8.8</f>
        <v>8.3000000000000007</v>
      </c>
      <c r="H38" s="1982"/>
      <c r="I38" s="1983">
        <f>25.1-17.1</f>
        <v>8</v>
      </c>
      <c r="J38" s="1982"/>
      <c r="K38" s="1983">
        <f>32.9-25.1</f>
        <v>7.7999999999999972</v>
      </c>
      <c r="L38" s="1214"/>
      <c r="M38" s="1214">
        <v>8</v>
      </c>
      <c r="N38" s="1214"/>
      <c r="O38" s="1404">
        <v>8.1</v>
      </c>
      <c r="P38" s="265"/>
      <c r="Q38" s="522">
        <v>7.2</v>
      </c>
      <c r="R38" s="265"/>
      <c r="S38" s="522"/>
      <c r="T38" s="265"/>
      <c r="U38" s="522"/>
      <c r="V38" s="265"/>
      <c r="W38" s="522"/>
      <c r="X38" s="265"/>
      <c r="Y38" s="522"/>
      <c r="Z38" s="265"/>
      <c r="AA38" s="522"/>
      <c r="AB38" s="522"/>
      <c r="AC38" s="1245">
        <v>0</v>
      </c>
      <c r="AD38" s="323"/>
      <c r="AE38" s="1328"/>
      <c r="AF38" s="324">
        <f>ROUND(SUM(E38:AC38),1)</f>
        <v>56.2</v>
      </c>
      <c r="AG38" s="2412"/>
      <c r="AH38" s="266"/>
      <c r="AI38" s="2406">
        <v>17.3</v>
      </c>
      <c r="AJ38" s="324"/>
      <c r="AK38" s="2409"/>
      <c r="AL38" s="324">
        <f t="shared" si="0"/>
        <v>38.9</v>
      </c>
      <c r="AM38" s="672"/>
      <c r="AN38" s="3234">
        <f>ROUND(IF(AI38=0,0,AL38/(AI38)),3)</f>
        <v>2.2490000000000001</v>
      </c>
    </row>
    <row r="39" spans="1:41" ht="15.75">
      <c r="A39" s="227"/>
      <c r="B39" s="1979" t="s">
        <v>1567</v>
      </c>
      <c r="C39" s="1407"/>
      <c r="D39" s="227"/>
      <c r="E39" s="2406"/>
      <c r="F39" s="323"/>
      <c r="G39" s="2406"/>
      <c r="H39" s="323"/>
      <c r="I39" s="2406"/>
      <c r="J39" s="323"/>
      <c r="K39" s="2406"/>
      <c r="L39" s="265"/>
      <c r="M39" s="265"/>
      <c r="N39" s="265"/>
      <c r="O39" s="522"/>
      <c r="P39" s="265"/>
      <c r="Q39" s="522"/>
      <c r="R39" s="265"/>
      <c r="S39" s="522"/>
      <c r="T39" s="265"/>
      <c r="U39" s="522"/>
      <c r="V39" s="265"/>
      <c r="W39" s="522"/>
      <c r="X39" s="265"/>
      <c r="Y39" s="522"/>
      <c r="Z39" s="265"/>
      <c r="AA39" s="522"/>
      <c r="AB39" s="522"/>
      <c r="AC39" s="522"/>
      <c r="AD39" s="323"/>
      <c r="AE39" s="1328"/>
      <c r="AF39" s="324"/>
      <c r="AG39" s="2412"/>
      <c r="AH39" s="266"/>
      <c r="AI39" s="2406"/>
      <c r="AJ39" s="324"/>
      <c r="AK39" s="2409"/>
      <c r="AL39" s="324"/>
      <c r="AM39" s="672"/>
      <c r="AN39" s="3287"/>
    </row>
    <row r="40" spans="1:41" ht="15.75">
      <c r="A40" s="227"/>
      <c r="B40" s="1979" t="s">
        <v>1467</v>
      </c>
      <c r="C40" s="1407"/>
      <c r="D40" s="227"/>
      <c r="E40" s="2406">
        <v>2.2999999999999998</v>
      </c>
      <c r="F40" s="323"/>
      <c r="G40" s="2406">
        <f>9.7-2.3</f>
        <v>7.3999999999999995</v>
      </c>
      <c r="H40" s="323"/>
      <c r="I40" s="2406">
        <f>16.6-9.7</f>
        <v>6.9000000000000021</v>
      </c>
      <c r="J40" s="323"/>
      <c r="K40" s="2406">
        <f>20.2-16.6</f>
        <v>3.5999999999999979</v>
      </c>
      <c r="L40" s="265"/>
      <c r="M40" s="265">
        <v>5.8</v>
      </c>
      <c r="N40" s="265"/>
      <c r="O40" s="522">
        <v>4.9000000000000004</v>
      </c>
      <c r="P40" s="265"/>
      <c r="Q40" s="522">
        <v>3.8</v>
      </c>
      <c r="R40" s="265"/>
      <c r="S40" s="522"/>
      <c r="T40" s="265"/>
      <c r="U40" s="522"/>
      <c r="V40" s="265"/>
      <c r="W40" s="522"/>
      <c r="X40" s="265"/>
      <c r="Y40" s="522"/>
      <c r="Z40" s="265"/>
      <c r="AA40" s="522"/>
      <c r="AB40" s="522"/>
      <c r="AC40" s="1245">
        <v>0</v>
      </c>
      <c r="AD40" s="323"/>
      <c r="AE40" s="1328"/>
      <c r="AF40" s="324">
        <f>ROUND(SUM(E40:AC40),1)</f>
        <v>34.700000000000003</v>
      </c>
      <c r="AG40" s="2412"/>
      <c r="AH40" s="266"/>
      <c r="AI40" s="2406">
        <v>27.5</v>
      </c>
      <c r="AJ40" s="324"/>
      <c r="AK40" s="2409"/>
      <c r="AL40" s="324">
        <f t="shared" si="0"/>
        <v>7.2</v>
      </c>
      <c r="AM40" s="672"/>
      <c r="AN40" s="3234">
        <f>ROUND(IF(AI40=0,0,AL40/(AI40)),3)</f>
        <v>0.26200000000000001</v>
      </c>
    </row>
    <row r="41" spans="1:41" ht="15.75">
      <c r="A41" s="227"/>
      <c r="B41" s="1979" t="s">
        <v>1470</v>
      </c>
      <c r="C41" s="1407"/>
      <c r="D41" s="227"/>
      <c r="E41" s="2406">
        <v>55.1</v>
      </c>
      <c r="F41" s="323"/>
      <c r="G41" s="2406">
        <f>116.8-55.1</f>
        <v>61.699999999999996</v>
      </c>
      <c r="H41" s="323"/>
      <c r="I41" s="2406">
        <f>179.8-116.8</f>
        <v>63.000000000000014</v>
      </c>
      <c r="J41" s="323"/>
      <c r="K41" s="2406">
        <f>235-179.8</f>
        <v>55.199999999999989</v>
      </c>
      <c r="L41" s="265"/>
      <c r="M41" s="265">
        <f>289.2-235</f>
        <v>54.199999999999989</v>
      </c>
      <c r="N41" s="265"/>
      <c r="O41" s="522">
        <v>56.4</v>
      </c>
      <c r="P41" s="265"/>
      <c r="Q41" s="522">
        <v>49</v>
      </c>
      <c r="R41" s="265"/>
      <c r="S41" s="522"/>
      <c r="T41" s="265"/>
      <c r="U41" s="522"/>
      <c r="V41" s="265"/>
      <c r="W41" s="522"/>
      <c r="X41" s="265"/>
      <c r="Y41" s="522"/>
      <c r="Z41" s="265"/>
      <c r="AA41" s="522"/>
      <c r="AB41" s="522"/>
      <c r="AC41" s="1245">
        <v>0</v>
      </c>
      <c r="AD41" s="323"/>
      <c r="AE41" s="1328"/>
      <c r="AF41" s="324">
        <f>ROUND(SUM(E41:AC41),1)</f>
        <v>394.6</v>
      </c>
      <c r="AG41" s="2412"/>
      <c r="AH41" s="266"/>
      <c r="AI41" s="2406">
        <v>435.3</v>
      </c>
      <c r="AJ41" s="324"/>
      <c r="AK41" s="2409"/>
      <c r="AL41" s="324">
        <f t="shared" si="0"/>
        <v>-40.700000000000003</v>
      </c>
      <c r="AM41" s="672"/>
      <c r="AN41" s="3234">
        <f>ROUND(IF(AI41=0,0,AL41/(AI41)),3)</f>
        <v>-9.2999999999999999E-2</v>
      </c>
    </row>
    <row r="42" spans="1:41" ht="15.75">
      <c r="A42" s="227"/>
      <c r="B42" s="1979" t="s">
        <v>1471</v>
      </c>
      <c r="C42" s="1407"/>
      <c r="D42" s="227"/>
      <c r="E42" s="2406">
        <v>0</v>
      </c>
      <c r="F42" s="323"/>
      <c r="G42" s="2406">
        <v>0</v>
      </c>
      <c r="H42" s="323"/>
      <c r="I42" s="2406">
        <v>0</v>
      </c>
      <c r="J42" s="323"/>
      <c r="K42" s="2406">
        <v>0</v>
      </c>
      <c r="L42" s="265"/>
      <c r="M42" s="265">
        <v>2.8</v>
      </c>
      <c r="N42" s="265"/>
      <c r="O42" s="522">
        <v>4.7</v>
      </c>
      <c r="P42" s="265"/>
      <c r="Q42" s="522">
        <v>0</v>
      </c>
      <c r="R42" s="265"/>
      <c r="S42" s="522"/>
      <c r="T42" s="265"/>
      <c r="U42" s="522"/>
      <c r="V42" s="265"/>
      <c r="W42" s="522"/>
      <c r="X42" s="265"/>
      <c r="Y42" s="522"/>
      <c r="Z42" s="265"/>
      <c r="AA42" s="522"/>
      <c r="AB42" s="522"/>
      <c r="AC42" s="1245">
        <v>0</v>
      </c>
      <c r="AD42" s="323"/>
      <c r="AE42" s="1328"/>
      <c r="AF42" s="324">
        <f>ROUND(SUM(E42:AC42),1)</f>
        <v>7.5</v>
      </c>
      <c r="AG42" s="2412"/>
      <c r="AH42" s="266"/>
      <c r="AI42" s="2406">
        <v>5.8</v>
      </c>
      <c r="AJ42" s="324"/>
      <c r="AK42" s="2409"/>
      <c r="AL42" s="324">
        <f t="shared" si="0"/>
        <v>1.7</v>
      </c>
      <c r="AM42" s="672"/>
      <c r="AN42" s="3234">
        <f>ROUND(IF(AI42=0,1,AL42/(AI42)),3)</f>
        <v>0.29299999999999998</v>
      </c>
    </row>
    <row r="43" spans="1:41" ht="15.75">
      <c r="A43" s="227"/>
      <c r="B43" s="1979" t="s">
        <v>1429</v>
      </c>
      <c r="C43" s="1407"/>
      <c r="D43" s="227"/>
      <c r="E43" s="2406">
        <v>2.9</v>
      </c>
      <c r="F43" s="323"/>
      <c r="G43" s="2406">
        <f>5.3-2.9</f>
        <v>2.4</v>
      </c>
      <c r="H43" s="323"/>
      <c r="I43" s="2406">
        <f>7.2-5.3</f>
        <v>1.9000000000000004</v>
      </c>
      <c r="J43" s="323"/>
      <c r="K43" s="2406">
        <f>8.8-7.2</f>
        <v>1.6000000000000005</v>
      </c>
      <c r="L43" s="265"/>
      <c r="M43" s="265">
        <v>2.7</v>
      </c>
      <c r="N43" s="265"/>
      <c r="O43" s="522">
        <v>1.3</v>
      </c>
      <c r="P43" s="265"/>
      <c r="Q43" s="522">
        <v>1.1000000000000001</v>
      </c>
      <c r="R43" s="265"/>
      <c r="S43" s="522"/>
      <c r="T43" s="265"/>
      <c r="U43" s="522"/>
      <c r="V43" s="265"/>
      <c r="W43" s="522"/>
      <c r="X43" s="265"/>
      <c r="Y43" s="522"/>
      <c r="Z43" s="265"/>
      <c r="AA43" s="522"/>
      <c r="AB43" s="522"/>
      <c r="AC43" s="1245">
        <v>0</v>
      </c>
      <c r="AD43" s="323"/>
      <c r="AE43" s="1328"/>
      <c r="AF43" s="324">
        <f>ROUND(SUM(E43:AC43),1)</f>
        <v>13.9</v>
      </c>
      <c r="AG43" s="2412"/>
      <c r="AH43" s="266"/>
      <c r="AI43" s="2406">
        <v>13.8</v>
      </c>
      <c r="AJ43" s="324"/>
      <c r="AK43" s="2409"/>
      <c r="AL43" s="324">
        <f t="shared" si="0"/>
        <v>0.1</v>
      </c>
      <c r="AM43" s="672"/>
      <c r="AN43" s="3286">
        <f>ROUND(IF(AI43=0,0,AL43/(AI43)),3)</f>
        <v>7.0000000000000001E-3</v>
      </c>
    </row>
    <row r="44" spans="1:41" ht="15.75">
      <c r="A44" s="227"/>
      <c r="B44" s="1979" t="s">
        <v>1430</v>
      </c>
      <c r="C44" s="1407"/>
      <c r="D44" s="227"/>
      <c r="E44" s="2406">
        <v>0</v>
      </c>
      <c r="F44" s="323"/>
      <c r="G44" s="2406">
        <v>0.1</v>
      </c>
      <c r="H44" s="323"/>
      <c r="I44" s="2406">
        <v>0.1</v>
      </c>
      <c r="J44" s="323"/>
      <c r="K44" s="2406">
        <v>0</v>
      </c>
      <c r="L44" s="265"/>
      <c r="M44" s="265">
        <v>0</v>
      </c>
      <c r="N44" s="265"/>
      <c r="O44" s="522">
        <v>0.6</v>
      </c>
      <c r="P44" s="265"/>
      <c r="Q44" s="522">
        <v>0</v>
      </c>
      <c r="R44" s="265"/>
      <c r="S44" s="522"/>
      <c r="T44" s="265"/>
      <c r="U44" s="522"/>
      <c r="V44" s="265"/>
      <c r="W44" s="522"/>
      <c r="X44" s="265"/>
      <c r="Y44" s="522"/>
      <c r="Z44" s="265"/>
      <c r="AA44" s="522"/>
      <c r="AB44" s="522"/>
      <c r="AC44" s="1245">
        <v>0</v>
      </c>
      <c r="AD44" s="323"/>
      <c r="AE44" s="1328"/>
      <c r="AF44" s="324">
        <f>ROUND(SUM(E44:AC44),1)</f>
        <v>0.8</v>
      </c>
      <c r="AG44" s="2412"/>
      <c r="AH44" s="266"/>
      <c r="AI44" s="2406">
        <v>0.3</v>
      </c>
      <c r="AJ44" s="324"/>
      <c r="AK44" s="2409"/>
      <c r="AL44" s="324">
        <f t="shared" si="0"/>
        <v>0.5</v>
      </c>
      <c r="AM44" s="672"/>
      <c r="AN44" s="3234">
        <f>ROUND(IF(AI44=0,0,AL44/(AI44)),3)</f>
        <v>1.667</v>
      </c>
    </row>
    <row r="45" spans="1:41" ht="15.75">
      <c r="A45" s="227"/>
      <c r="B45" s="1979" t="s">
        <v>1565</v>
      </c>
      <c r="C45" s="1407"/>
      <c r="D45" s="227"/>
      <c r="E45" s="2406"/>
      <c r="F45" s="323"/>
      <c r="G45" s="2406"/>
      <c r="H45" s="323"/>
      <c r="I45" s="2406"/>
      <c r="J45" s="323"/>
      <c r="K45" s="2406"/>
      <c r="L45" s="265"/>
      <c r="M45" s="265"/>
      <c r="N45" s="265"/>
      <c r="O45" s="522"/>
      <c r="P45" s="265"/>
      <c r="Q45" s="522"/>
      <c r="R45" s="265"/>
      <c r="S45" s="522"/>
      <c r="T45" s="265"/>
      <c r="U45" s="522"/>
      <c r="V45" s="265"/>
      <c r="W45" s="522"/>
      <c r="X45" s="265"/>
      <c r="Y45" s="522"/>
      <c r="Z45" s="265"/>
      <c r="AA45" s="522"/>
      <c r="AB45" s="522"/>
      <c r="AC45" s="522"/>
      <c r="AD45" s="323"/>
      <c r="AE45" s="1328"/>
      <c r="AF45" s="324"/>
      <c r="AG45" s="2412"/>
      <c r="AH45" s="266"/>
      <c r="AI45" s="2406"/>
      <c r="AJ45" s="324"/>
      <c r="AK45" s="2409"/>
      <c r="AL45" s="324"/>
      <c r="AM45" s="672"/>
      <c r="AN45" s="3287"/>
    </row>
    <row r="46" spans="1:41" ht="15.75">
      <c r="A46" s="227"/>
      <c r="B46" s="1979" t="s">
        <v>1475</v>
      </c>
      <c r="C46" s="1407"/>
      <c r="D46" s="227"/>
      <c r="E46" s="2406">
        <v>134.6</v>
      </c>
      <c r="F46" s="323"/>
      <c r="G46" s="2406">
        <f>182.8-134.6</f>
        <v>48.200000000000017</v>
      </c>
      <c r="H46" s="323"/>
      <c r="I46" s="2406">
        <f>315.4-182.8</f>
        <v>132.59999999999997</v>
      </c>
      <c r="J46" s="323"/>
      <c r="K46" s="2406">
        <f>862.7-315.4</f>
        <v>547.30000000000007</v>
      </c>
      <c r="L46" s="265"/>
      <c r="M46" s="265">
        <v>2.8</v>
      </c>
      <c r="N46" s="265"/>
      <c r="O46" s="522">
        <v>124.9</v>
      </c>
      <c r="P46" s="265"/>
      <c r="Q46" s="522">
        <v>38.200000000000003</v>
      </c>
      <c r="R46" s="265"/>
      <c r="S46" s="522"/>
      <c r="T46" s="265"/>
      <c r="U46" s="522"/>
      <c r="V46" s="265"/>
      <c r="W46" s="522"/>
      <c r="X46" s="265"/>
      <c r="Y46" s="522"/>
      <c r="Z46" s="265"/>
      <c r="AA46" s="522"/>
      <c r="AB46" s="522"/>
      <c r="AC46" s="1245">
        <v>0</v>
      </c>
      <c r="AD46" s="323"/>
      <c r="AE46" s="1328"/>
      <c r="AF46" s="324">
        <f>ROUND(SUM(E46:AC46),1)</f>
        <v>1028.5999999999999</v>
      </c>
      <c r="AG46" s="2412"/>
      <c r="AH46" s="266"/>
      <c r="AI46" s="2406">
        <v>1632</v>
      </c>
      <c r="AJ46" s="324"/>
      <c r="AK46" s="2409"/>
      <c r="AL46" s="324">
        <f t="shared" si="0"/>
        <v>-603.4</v>
      </c>
      <c r="AM46" s="672"/>
      <c r="AN46" s="3234">
        <f t="shared" ref="AN46:AN55" si="1">ROUND(IF(AI46=0,0,AL46/(AI46)),3)</f>
        <v>-0.37</v>
      </c>
    </row>
    <row r="47" spans="1:41" ht="15.75">
      <c r="A47" s="227"/>
      <c r="B47" s="1979" t="s">
        <v>1478</v>
      </c>
      <c r="C47" s="1407"/>
      <c r="D47" s="227"/>
      <c r="E47" s="2406">
        <v>0.1</v>
      </c>
      <c r="F47" s="323"/>
      <c r="G47" s="2406">
        <f>5.1-0.1</f>
        <v>5</v>
      </c>
      <c r="H47" s="323"/>
      <c r="I47" s="2406">
        <v>0</v>
      </c>
      <c r="J47" s="323"/>
      <c r="K47" s="2406">
        <f>14.1-5.1</f>
        <v>9</v>
      </c>
      <c r="L47" s="265"/>
      <c r="M47" s="265">
        <v>0</v>
      </c>
      <c r="N47" s="265"/>
      <c r="O47" s="522">
        <v>-5</v>
      </c>
      <c r="P47" s="265"/>
      <c r="Q47" s="522">
        <v>0</v>
      </c>
      <c r="R47" s="265"/>
      <c r="S47" s="522"/>
      <c r="T47" s="265"/>
      <c r="U47" s="522"/>
      <c r="V47" s="265"/>
      <c r="W47" s="522"/>
      <c r="X47" s="265"/>
      <c r="Y47" s="522"/>
      <c r="Z47" s="265"/>
      <c r="AA47" s="522"/>
      <c r="AB47" s="522"/>
      <c r="AC47" s="1245">
        <v>0</v>
      </c>
      <c r="AD47" s="323"/>
      <c r="AE47" s="1328"/>
      <c r="AF47" s="324">
        <f>ROUND(SUM(E47:AC47),1)</f>
        <v>9.1</v>
      </c>
      <c r="AG47" s="2412"/>
      <c r="AH47" s="266"/>
      <c r="AI47" s="2406">
        <v>7.5</v>
      </c>
      <c r="AJ47" s="324"/>
      <c r="AK47" s="2409"/>
      <c r="AL47" s="324">
        <f t="shared" si="0"/>
        <v>1.6</v>
      </c>
      <c r="AM47" s="672"/>
      <c r="AN47" s="3286">
        <f t="shared" si="1"/>
        <v>0.21299999999999999</v>
      </c>
    </row>
    <row r="48" spans="1:41" ht="15.75">
      <c r="A48" s="227"/>
      <c r="B48" s="1979" t="s">
        <v>1448</v>
      </c>
      <c r="C48" s="1407"/>
      <c r="D48" s="227"/>
      <c r="E48" s="2406">
        <v>0.1</v>
      </c>
      <c r="F48" s="323"/>
      <c r="G48" s="2406">
        <f>0.8-0.1</f>
        <v>0.70000000000000007</v>
      </c>
      <c r="H48" s="323"/>
      <c r="I48" s="2406">
        <v>0</v>
      </c>
      <c r="J48" s="323"/>
      <c r="K48" s="2406">
        <v>0.1</v>
      </c>
      <c r="L48" s="265"/>
      <c r="M48" s="265">
        <v>0</v>
      </c>
      <c r="N48" s="265"/>
      <c r="O48" s="522">
        <v>0</v>
      </c>
      <c r="P48" s="265"/>
      <c r="Q48" s="522">
        <v>0.2</v>
      </c>
      <c r="R48" s="265"/>
      <c r="S48" s="522"/>
      <c r="T48" s="265"/>
      <c r="U48" s="522"/>
      <c r="V48" s="265"/>
      <c r="W48" s="522"/>
      <c r="X48" s="265"/>
      <c r="Y48" s="522"/>
      <c r="Z48" s="265"/>
      <c r="AA48" s="522"/>
      <c r="AB48" s="522"/>
      <c r="AC48" s="1245">
        <v>0</v>
      </c>
      <c r="AD48" s="323"/>
      <c r="AE48" s="1328"/>
      <c r="AF48" s="324">
        <f>ROUND(SUM(E48:AC48),1)</f>
        <v>1.1000000000000001</v>
      </c>
      <c r="AG48" s="2412"/>
      <c r="AH48" s="266"/>
      <c r="AI48" s="2406">
        <v>2</v>
      </c>
      <c r="AJ48" s="324"/>
      <c r="AK48" s="2409"/>
      <c r="AL48" s="324">
        <f t="shared" si="0"/>
        <v>-0.9</v>
      </c>
      <c r="AM48" s="672"/>
      <c r="AN48" s="3234">
        <f t="shared" si="1"/>
        <v>-0.45</v>
      </c>
    </row>
    <row r="49" spans="1:43" ht="15.75">
      <c r="A49" s="227"/>
      <c r="B49" s="1979" t="s">
        <v>1449</v>
      </c>
      <c r="C49" s="1407"/>
      <c r="D49" s="227"/>
      <c r="E49" s="2406">
        <v>0.1</v>
      </c>
      <c r="F49" s="323"/>
      <c r="G49" s="2406">
        <f>1.3-0.2</f>
        <v>1.1000000000000001</v>
      </c>
      <c r="H49" s="323"/>
      <c r="I49" s="2406">
        <v>0.5</v>
      </c>
      <c r="J49" s="323"/>
      <c r="K49" s="2406">
        <v>0.4</v>
      </c>
      <c r="L49" s="265"/>
      <c r="M49" s="265">
        <v>0.3</v>
      </c>
      <c r="N49" s="265"/>
      <c r="O49" s="522">
        <v>0.5</v>
      </c>
      <c r="P49" s="265"/>
      <c r="Q49" s="522">
        <v>0.9</v>
      </c>
      <c r="R49" s="265"/>
      <c r="S49" s="522"/>
      <c r="T49" s="265"/>
      <c r="U49" s="522"/>
      <c r="V49" s="265"/>
      <c r="W49" s="522"/>
      <c r="X49" s="265"/>
      <c r="Y49" s="522"/>
      <c r="Z49" s="265"/>
      <c r="AA49" s="522"/>
      <c r="AB49" s="522"/>
      <c r="AC49" s="1245">
        <v>0</v>
      </c>
      <c r="AD49" s="323"/>
      <c r="AE49" s="1328"/>
      <c r="AF49" s="324">
        <f>ROUND(SUM(E49:AC49),1)</f>
        <v>3.8</v>
      </c>
      <c r="AG49" s="2412"/>
      <c r="AH49" s="266"/>
      <c r="AI49" s="2406">
        <v>6.1</v>
      </c>
      <c r="AJ49" s="324"/>
      <c r="AK49" s="2409"/>
      <c r="AL49" s="324">
        <f t="shared" si="0"/>
        <v>-2.2999999999999998</v>
      </c>
      <c r="AM49" s="672"/>
      <c r="AN49" s="3234">
        <f t="shared" si="1"/>
        <v>-0.377</v>
      </c>
    </row>
    <row r="50" spans="1:43" ht="15.75">
      <c r="A50" s="227"/>
      <c r="B50" s="1979" t="s">
        <v>1566</v>
      </c>
      <c r="C50" s="1407"/>
      <c r="D50" s="227"/>
      <c r="E50" s="2406"/>
      <c r="F50" s="323"/>
      <c r="G50" s="2406"/>
      <c r="H50" s="323"/>
      <c r="I50" s="2406"/>
      <c r="J50" s="323"/>
      <c r="K50" s="2406"/>
      <c r="L50" s="265"/>
      <c r="M50" s="265"/>
      <c r="N50" s="265"/>
      <c r="O50" s="522"/>
      <c r="P50" s="265"/>
      <c r="Q50" s="522"/>
      <c r="R50" s="265"/>
      <c r="S50" s="522"/>
      <c r="T50" s="265"/>
      <c r="U50" s="522"/>
      <c r="V50" s="265"/>
      <c r="W50" s="522"/>
      <c r="X50" s="265"/>
      <c r="Y50" s="522"/>
      <c r="Z50" s="265"/>
      <c r="AA50" s="522"/>
      <c r="AB50" s="522"/>
      <c r="AC50" s="522"/>
      <c r="AD50" s="323"/>
      <c r="AE50" s="1328"/>
      <c r="AF50" s="324"/>
      <c r="AG50" s="2412"/>
      <c r="AH50" s="266"/>
      <c r="AI50" s="2406"/>
      <c r="AJ50" s="324"/>
      <c r="AK50" s="2409"/>
      <c r="AL50" s="324"/>
      <c r="AM50" s="672"/>
      <c r="AN50" s="3287"/>
    </row>
    <row r="51" spans="1:43" ht="15.75">
      <c r="A51" s="227"/>
      <c r="B51" s="1979" t="s">
        <v>1479</v>
      </c>
      <c r="C51" s="1407"/>
      <c r="D51" s="227"/>
      <c r="E51" s="2406">
        <v>0</v>
      </c>
      <c r="F51" s="2406">
        <v>0</v>
      </c>
      <c r="G51" s="2406">
        <v>0</v>
      </c>
      <c r="H51" s="323"/>
      <c r="I51" s="2406">
        <v>0</v>
      </c>
      <c r="J51" s="323"/>
      <c r="K51" s="2406">
        <v>0</v>
      </c>
      <c r="L51" s="265"/>
      <c r="M51" s="265">
        <v>0</v>
      </c>
      <c r="N51" s="265"/>
      <c r="O51" s="522">
        <v>0</v>
      </c>
      <c r="P51" s="265"/>
      <c r="Q51" s="522">
        <v>0</v>
      </c>
      <c r="R51" s="265"/>
      <c r="S51" s="522"/>
      <c r="T51" s="265"/>
      <c r="U51" s="522"/>
      <c r="V51" s="265"/>
      <c r="W51" s="522"/>
      <c r="X51" s="265"/>
      <c r="Y51" s="522"/>
      <c r="Z51" s="265"/>
      <c r="AA51" s="522"/>
      <c r="AB51" s="522"/>
      <c r="AC51" s="1245">
        <v>0</v>
      </c>
      <c r="AD51" s="323"/>
      <c r="AE51" s="1328"/>
      <c r="AF51" s="324">
        <f>ROUND(SUM(E51:AC51),1)</f>
        <v>0</v>
      </c>
      <c r="AG51" s="2412"/>
      <c r="AH51" s="266"/>
      <c r="AI51" s="2406">
        <v>1.5</v>
      </c>
      <c r="AJ51" s="324"/>
      <c r="AK51" s="2409"/>
      <c r="AL51" s="324">
        <f t="shared" si="0"/>
        <v>-1.5</v>
      </c>
      <c r="AM51" s="672"/>
      <c r="AN51" s="3234">
        <f t="shared" si="1"/>
        <v>-1</v>
      </c>
    </row>
    <row r="52" spans="1:43" ht="15.75">
      <c r="A52" s="227"/>
      <c r="B52" s="1979" t="s">
        <v>1481</v>
      </c>
      <c r="C52" s="1407"/>
      <c r="D52" s="227"/>
      <c r="E52" s="2406">
        <v>0</v>
      </c>
      <c r="F52" s="2406">
        <v>0</v>
      </c>
      <c r="G52" s="2406">
        <v>0</v>
      </c>
      <c r="H52" s="323"/>
      <c r="I52" s="2406">
        <v>0</v>
      </c>
      <c r="J52" s="323"/>
      <c r="K52" s="2406">
        <v>0</v>
      </c>
      <c r="L52" s="265"/>
      <c r="M52" s="265">
        <v>0</v>
      </c>
      <c r="N52" s="265"/>
      <c r="O52" s="522">
        <v>14</v>
      </c>
      <c r="P52" s="265"/>
      <c r="Q52" s="522">
        <v>0.2</v>
      </c>
      <c r="R52" s="265"/>
      <c r="S52" s="522"/>
      <c r="T52" s="265"/>
      <c r="U52" s="522"/>
      <c r="V52" s="265"/>
      <c r="W52" s="522"/>
      <c r="X52" s="265"/>
      <c r="Y52" s="522"/>
      <c r="Z52" s="265"/>
      <c r="AA52" s="522"/>
      <c r="AB52" s="522"/>
      <c r="AC52" s="1245">
        <v>0</v>
      </c>
      <c r="AD52" s="323"/>
      <c r="AE52" s="1328"/>
      <c r="AF52" s="324">
        <f>ROUND(SUM(E52:AC52),1)</f>
        <v>14.2</v>
      </c>
      <c r="AG52" s="2412"/>
      <c r="AH52" s="266"/>
      <c r="AI52" s="2406">
        <v>0</v>
      </c>
      <c r="AJ52" s="324"/>
      <c r="AK52" s="2409"/>
      <c r="AL52" s="324">
        <f t="shared" si="0"/>
        <v>14.2</v>
      </c>
      <c r="AM52" s="672"/>
      <c r="AN52" s="3234">
        <f>ROUND(IF(AI52=0,1,AL52/(AI52)),3)</f>
        <v>1</v>
      </c>
    </row>
    <row r="53" spans="1:43" ht="15.75">
      <c r="A53" s="227"/>
      <c r="B53" s="1979" t="s">
        <v>1485</v>
      </c>
      <c r="C53" s="1407"/>
      <c r="D53" s="227"/>
      <c r="E53" s="2406">
        <v>0</v>
      </c>
      <c r="F53" s="2406">
        <v>0</v>
      </c>
      <c r="G53" s="2406">
        <v>1.1000000000000001</v>
      </c>
      <c r="H53" s="323"/>
      <c r="I53" s="2406">
        <v>0.5</v>
      </c>
      <c r="J53" s="323"/>
      <c r="K53" s="2406">
        <v>0.6</v>
      </c>
      <c r="L53" s="265"/>
      <c r="M53" s="265">
        <v>0.4</v>
      </c>
      <c r="N53" s="265"/>
      <c r="O53" s="522">
        <v>0.8</v>
      </c>
      <c r="P53" s="265"/>
      <c r="Q53" s="522">
        <v>0.2</v>
      </c>
      <c r="R53" s="265"/>
      <c r="S53" s="522"/>
      <c r="T53" s="265"/>
      <c r="U53" s="522"/>
      <c r="V53" s="265"/>
      <c r="W53" s="522"/>
      <c r="X53" s="265"/>
      <c r="Y53" s="522"/>
      <c r="Z53" s="265"/>
      <c r="AA53" s="522"/>
      <c r="AB53" s="522"/>
      <c r="AC53" s="1245">
        <v>0</v>
      </c>
      <c r="AD53" s="323"/>
      <c r="AE53" s="1328"/>
      <c r="AF53" s="324">
        <f>ROUND(SUM(E53:AC53),1)</f>
        <v>3.6</v>
      </c>
      <c r="AG53" s="2412"/>
      <c r="AH53" s="266"/>
      <c r="AI53" s="2406">
        <v>1.7</v>
      </c>
      <c r="AJ53" s="324"/>
      <c r="AK53" s="2409"/>
      <c r="AL53" s="324">
        <f t="shared" si="0"/>
        <v>1.9</v>
      </c>
      <c r="AM53" s="672"/>
      <c r="AN53" s="3234">
        <f t="shared" si="1"/>
        <v>1.1180000000000001</v>
      </c>
    </row>
    <row r="54" spans="1:43" ht="15.75">
      <c r="A54" s="227"/>
      <c r="B54" s="1979" t="s">
        <v>1487</v>
      </c>
      <c r="C54" s="1407"/>
      <c r="D54" s="227"/>
      <c r="E54" s="2406">
        <v>0.1</v>
      </c>
      <c r="F54" s="2406">
        <v>0</v>
      </c>
      <c r="G54" s="2406">
        <v>1.7</v>
      </c>
      <c r="H54" s="323"/>
      <c r="I54" s="2406">
        <v>1.3</v>
      </c>
      <c r="J54" s="323"/>
      <c r="K54" s="2406">
        <v>1.5</v>
      </c>
      <c r="L54" s="265"/>
      <c r="M54" s="265">
        <v>0.8</v>
      </c>
      <c r="N54" s="265"/>
      <c r="O54" s="522">
        <v>0.4</v>
      </c>
      <c r="P54" s="265"/>
      <c r="Q54" s="522">
        <v>0.9</v>
      </c>
      <c r="R54" s="265"/>
      <c r="S54" s="522"/>
      <c r="T54" s="265"/>
      <c r="U54" s="522"/>
      <c r="V54" s="265"/>
      <c r="W54" s="522"/>
      <c r="X54" s="265"/>
      <c r="Y54" s="522"/>
      <c r="Z54" s="265"/>
      <c r="AA54" s="522"/>
      <c r="AB54" s="522"/>
      <c r="AC54" s="1245">
        <v>0</v>
      </c>
      <c r="AD54" s="323"/>
      <c r="AE54" s="1328"/>
      <c r="AF54" s="324">
        <f>ROUND(SUM(E54:AC54),1)</f>
        <v>6.7</v>
      </c>
      <c r="AG54" s="2412"/>
      <c r="AH54" s="266"/>
      <c r="AI54" s="2406">
        <v>7.1</v>
      </c>
      <c r="AJ54" s="324"/>
      <c r="AK54" s="2409"/>
      <c r="AL54" s="324">
        <f t="shared" si="0"/>
        <v>-0.4</v>
      </c>
      <c r="AM54" s="672"/>
      <c r="AN54" s="3234">
        <f t="shared" si="1"/>
        <v>-5.6000000000000001E-2</v>
      </c>
    </row>
    <row r="55" spans="1:43" ht="15.75">
      <c r="A55" s="227"/>
      <c r="B55" s="1979" t="s">
        <v>1459</v>
      </c>
      <c r="C55" s="1407"/>
      <c r="D55" s="227"/>
      <c r="E55" s="2406">
        <v>0</v>
      </c>
      <c r="F55" s="2406">
        <v>0</v>
      </c>
      <c r="G55" s="2406">
        <v>0.1</v>
      </c>
      <c r="H55" s="323"/>
      <c r="I55" s="2406">
        <v>0.1</v>
      </c>
      <c r="J55" s="323"/>
      <c r="K55" s="2406">
        <v>0.1</v>
      </c>
      <c r="L55" s="265"/>
      <c r="M55" s="265">
        <v>0.2</v>
      </c>
      <c r="N55" s="265"/>
      <c r="O55" s="522">
        <v>8.8000000000000007</v>
      </c>
      <c r="P55" s="265"/>
      <c r="Q55" s="522">
        <v>0.1</v>
      </c>
      <c r="R55" s="265"/>
      <c r="S55" s="522"/>
      <c r="T55" s="265"/>
      <c r="U55" s="522"/>
      <c r="V55" s="265"/>
      <c r="W55" s="522"/>
      <c r="X55" s="265"/>
      <c r="Y55" s="522"/>
      <c r="Z55" s="265"/>
      <c r="AA55" s="522"/>
      <c r="AB55" s="522"/>
      <c r="AC55" s="1245">
        <v>0</v>
      </c>
      <c r="AD55" s="323"/>
      <c r="AE55" s="1328"/>
      <c r="AF55" s="324">
        <f>ROUND(SUM(E55:AC55),1)</f>
        <v>9.4</v>
      </c>
      <c r="AG55" s="2412"/>
      <c r="AH55" s="266"/>
      <c r="AI55" s="2406">
        <v>0.6</v>
      </c>
      <c r="AJ55" s="324"/>
      <c r="AK55" s="2409"/>
      <c r="AL55" s="324">
        <f t="shared" si="0"/>
        <v>8.8000000000000007</v>
      </c>
      <c r="AM55" s="672"/>
      <c r="AN55" s="3286">
        <f t="shared" si="1"/>
        <v>14.667</v>
      </c>
    </row>
    <row r="56" spans="1:43" s="667" customFormat="1" ht="15.75" collapsed="1">
      <c r="A56" s="225"/>
      <c r="B56" s="594" t="s">
        <v>1692</v>
      </c>
      <c r="C56" s="225"/>
      <c r="D56" s="225"/>
      <c r="E56" s="1327">
        <f>ROUND(SUM(E34:E55),1)</f>
        <v>204.1</v>
      </c>
      <c r="F56" s="317"/>
      <c r="G56" s="1327">
        <f>ROUND(SUM(G34:G55),1)</f>
        <v>137.80000000000001</v>
      </c>
      <c r="H56" s="2432"/>
      <c r="I56" s="1327">
        <f>ROUND(SUM(I34:I55),1)</f>
        <v>229.9</v>
      </c>
      <c r="J56" s="317"/>
      <c r="K56" s="1327">
        <f>ROUND(SUM(K34:K55),1)</f>
        <v>635.20000000000005</v>
      </c>
      <c r="L56" s="2154"/>
      <c r="M56" s="489">
        <f>ROUND(SUM(M34:M55),1)</f>
        <v>78</v>
      </c>
      <c r="N56" s="2154"/>
      <c r="O56" s="489">
        <f>ROUND(SUM(O34:O55),1)</f>
        <v>220.4</v>
      </c>
      <c r="P56" s="2154"/>
      <c r="Q56" s="489">
        <f>ROUND(SUM(Q34:Q55),1)</f>
        <v>101.8</v>
      </c>
      <c r="R56" s="2154"/>
      <c r="S56" s="489">
        <f>ROUND(SUM(S34:S55),1)</f>
        <v>0</v>
      </c>
      <c r="T56" s="2154"/>
      <c r="U56" s="489">
        <f>ROUND(SUM(U34:U55),1)</f>
        <v>0</v>
      </c>
      <c r="V56" s="2154"/>
      <c r="W56" s="489">
        <f>ROUND(SUM(W34:W55),1)</f>
        <v>0</v>
      </c>
      <c r="X56" s="2154"/>
      <c r="Y56" s="489">
        <f>ROUND(SUM(Y34:Y55),1)</f>
        <v>0</v>
      </c>
      <c r="Z56" s="2154"/>
      <c r="AA56" s="489">
        <f>ROUND(SUM(AA34:AA55),1)</f>
        <v>0</v>
      </c>
      <c r="AB56" s="277"/>
      <c r="AC56" s="489">
        <f>ROUND(SUM(AC34:AC55),1)</f>
        <v>0</v>
      </c>
      <c r="AD56" s="317"/>
      <c r="AE56" s="1329"/>
      <c r="AF56" s="1327">
        <f>ROUND(SUM(AF34:AF55),1)</f>
        <v>1607.2</v>
      </c>
      <c r="AG56" s="2413"/>
      <c r="AH56" s="320"/>
      <c r="AI56" s="1327">
        <f>ROUND(SUM(AI34:AI55),1)</f>
        <v>2173.5</v>
      </c>
      <c r="AJ56" s="2457"/>
      <c r="AK56" s="2409"/>
      <c r="AL56" s="1327">
        <f>ROUND(SUM(AL34:AL55),1)</f>
        <v>-566.29999999999995</v>
      </c>
      <c r="AM56" s="2369"/>
      <c r="AN56" s="3253">
        <f>ROUND(IF(AI56=0,0,AL56/(AI56)),3)</f>
        <v>-0.26100000000000001</v>
      </c>
    </row>
    <row r="57" spans="1:43" s="667" customFormat="1" ht="15.75">
      <c r="A57" s="225"/>
      <c r="B57" s="594"/>
      <c r="C57" s="225"/>
      <c r="D57" s="225"/>
      <c r="E57" s="320"/>
      <c r="F57" s="317"/>
      <c r="G57" s="320"/>
      <c r="H57" s="2432"/>
      <c r="I57" s="320"/>
      <c r="J57" s="317"/>
      <c r="K57" s="320"/>
      <c r="L57" s="2154"/>
      <c r="M57" s="277"/>
      <c r="N57" s="2154"/>
      <c r="O57" s="277"/>
      <c r="P57" s="2154"/>
      <c r="Q57" s="277"/>
      <c r="R57" s="2154"/>
      <c r="S57" s="277"/>
      <c r="T57" s="2154"/>
      <c r="U57" s="277"/>
      <c r="V57" s="2154"/>
      <c r="W57" s="277"/>
      <c r="X57" s="2154"/>
      <c r="Y57" s="277"/>
      <c r="Z57" s="2154"/>
      <c r="AA57" s="277"/>
      <c r="AB57" s="277"/>
      <c r="AC57" s="277"/>
      <c r="AD57" s="317"/>
      <c r="AE57" s="1329"/>
      <c r="AF57" s="320"/>
      <c r="AG57" s="2459"/>
      <c r="AH57" s="320"/>
      <c r="AI57" s="320"/>
      <c r="AJ57" s="2457"/>
      <c r="AK57" s="2409"/>
      <c r="AL57" s="320"/>
      <c r="AM57" s="2369"/>
      <c r="AN57" s="666"/>
    </row>
    <row r="58" spans="1:43" ht="15.75">
      <c r="A58" s="227"/>
      <c r="B58" s="227" t="s">
        <v>157</v>
      </c>
      <c r="C58" s="227"/>
      <c r="D58" s="227"/>
      <c r="E58" s="703">
        <v>0</v>
      </c>
      <c r="F58" s="323"/>
      <c r="G58" s="703">
        <v>0</v>
      </c>
      <c r="H58" s="323"/>
      <c r="I58" s="703">
        <v>0</v>
      </c>
      <c r="J58" s="323"/>
      <c r="K58" s="703">
        <v>0</v>
      </c>
      <c r="L58" s="265"/>
      <c r="M58" s="377">
        <v>0</v>
      </c>
      <c r="N58" s="265"/>
      <c r="O58" s="522">
        <v>2.5</v>
      </c>
      <c r="P58" s="265"/>
      <c r="Q58" s="377">
        <v>0</v>
      </c>
      <c r="R58" s="265"/>
      <c r="S58" s="377"/>
      <c r="T58" s="265"/>
      <c r="U58" s="377"/>
      <c r="V58" s="265"/>
      <c r="W58" s="377"/>
      <c r="X58" s="265"/>
      <c r="Y58" s="522"/>
      <c r="Z58" s="265"/>
      <c r="AA58" s="522"/>
      <c r="AB58" s="522"/>
      <c r="AC58" s="1245">
        <v>0</v>
      </c>
      <c r="AD58" s="323"/>
      <c r="AE58" s="1328"/>
      <c r="AF58" s="324">
        <f>ROUND(SUM(E58:AC58),1)</f>
        <v>2.5</v>
      </c>
      <c r="AG58" s="2408"/>
      <c r="AH58" s="266"/>
      <c r="AI58" s="324">
        <v>2.5</v>
      </c>
      <c r="AJ58" s="324"/>
      <c r="AK58" s="2453"/>
      <c r="AL58" s="324">
        <f>ROUND(AF58-AI58,1)</f>
        <v>0</v>
      </c>
      <c r="AM58" s="672"/>
      <c r="AN58" s="45">
        <f>ROUND(IF(AI58=0,0,AL58/(AI58)),3)</f>
        <v>0</v>
      </c>
    </row>
    <row r="59" spans="1:43" ht="15.75">
      <c r="A59" s="227"/>
      <c r="B59" s="227"/>
      <c r="C59" s="227"/>
      <c r="D59" s="227"/>
      <c r="E59" s="332"/>
      <c r="F59" s="323"/>
      <c r="G59" s="332"/>
      <c r="H59" s="323"/>
      <c r="I59" s="332"/>
      <c r="J59" s="323"/>
      <c r="K59" s="2433"/>
      <c r="L59" s="265"/>
      <c r="M59" s="293"/>
      <c r="N59" s="265"/>
      <c r="O59" s="293"/>
      <c r="P59" s="265"/>
      <c r="Q59" s="293"/>
      <c r="R59" s="265"/>
      <c r="S59" s="293"/>
      <c r="T59" s="265"/>
      <c r="U59" s="293"/>
      <c r="V59" s="265"/>
      <c r="W59" s="293"/>
      <c r="X59" s="265"/>
      <c r="Y59" s="293"/>
      <c r="Z59" s="265"/>
      <c r="AA59" s="293"/>
      <c r="AB59" s="253"/>
      <c r="AC59" s="293"/>
      <c r="AD59" s="323"/>
      <c r="AE59" s="1328"/>
      <c r="AF59" s="332"/>
      <c r="AG59" s="2408"/>
      <c r="AH59" s="266"/>
      <c r="AI59" s="332"/>
      <c r="AJ59" s="266"/>
      <c r="AK59" s="2453"/>
      <c r="AL59" s="332"/>
      <c r="AM59" s="662"/>
      <c r="AN59" s="375"/>
    </row>
    <row r="60" spans="1:43" ht="15.75">
      <c r="A60" s="227"/>
      <c r="B60" s="225" t="s">
        <v>208</v>
      </c>
      <c r="C60" s="227"/>
      <c r="D60" s="227"/>
      <c r="E60" s="317">
        <f>ROUND(SUM(E32+E56+E58),1)</f>
        <v>306.7</v>
      </c>
      <c r="F60" s="317"/>
      <c r="G60" s="317">
        <f>ROUND(SUM(G32+G56+G58),1)</f>
        <v>235.8</v>
      </c>
      <c r="H60" s="317"/>
      <c r="I60" s="317">
        <f>ROUND(SUM(I32+I56+I58),1)</f>
        <v>361.4</v>
      </c>
      <c r="J60" s="317"/>
      <c r="K60" s="317">
        <f>ROUND(SUM(K32+K56+K58),1)</f>
        <v>746.3</v>
      </c>
      <c r="L60" s="261"/>
      <c r="M60" s="2154">
        <f>ROUND(SUM(M32+M56+M58),1)</f>
        <v>203</v>
      </c>
      <c r="N60" s="261"/>
      <c r="O60" s="2154">
        <f>ROUND(SUM(O32+O56+O58),1)</f>
        <v>363.7</v>
      </c>
      <c r="P60" s="261"/>
      <c r="Q60" s="2154">
        <f>ROUND(SUM(Q32+Q56+Q58),1)</f>
        <v>213</v>
      </c>
      <c r="R60" s="261"/>
      <c r="S60" s="2154">
        <f>ROUND(SUM(S32+S56+S58),1)</f>
        <v>0</v>
      </c>
      <c r="T60" s="261"/>
      <c r="U60" s="2154">
        <f>ROUND(SUM(U32+U56+U58),1)</f>
        <v>0</v>
      </c>
      <c r="V60" s="261"/>
      <c r="W60" s="2154">
        <f>ROUND(SUM(W32+W56+W58),1)</f>
        <v>0</v>
      </c>
      <c r="X60" s="261"/>
      <c r="Y60" s="2154">
        <f>ROUND(SUM(Y32+Y56+Y58),1)</f>
        <v>0</v>
      </c>
      <c r="Z60" s="261"/>
      <c r="AA60" s="2154">
        <f>ROUND(SUM(AA32+AA56+AA58),1)</f>
        <v>0</v>
      </c>
      <c r="AB60" s="2154"/>
      <c r="AC60" s="2154">
        <f>ROUND(SUM(AC32+AC56+AC58),1)</f>
        <v>0</v>
      </c>
      <c r="AD60" s="317"/>
      <c r="AE60" s="1329"/>
      <c r="AF60" s="317">
        <f>ROUND(SUM(AF32+AF56+AF58),1)</f>
        <v>2429.9</v>
      </c>
      <c r="AG60" s="2413"/>
      <c r="AH60" s="320"/>
      <c r="AI60" s="317">
        <f>ROUND(SUM(AI32+AI56+AI58),1)</f>
        <v>2978.1</v>
      </c>
      <c r="AJ60" s="2457"/>
      <c r="AK60" s="2453"/>
      <c r="AL60" s="2460">
        <f>ROUND(SUM(AL32+AL56+AL58),1)</f>
        <v>-548.20000000000005</v>
      </c>
      <c r="AM60" s="373"/>
      <c r="AN60" s="2230">
        <f>ROUND(IF(AI60=0,0,AL60/(AI60)),3)</f>
        <v>-0.184</v>
      </c>
      <c r="AO60" s="667"/>
      <c r="AQ60" s="374"/>
    </row>
    <row r="61" spans="1:43" ht="15.75">
      <c r="A61" s="227"/>
      <c r="B61" s="227"/>
      <c r="C61" s="227"/>
      <c r="D61" s="227"/>
      <c r="E61" s="332"/>
      <c r="F61" s="323"/>
      <c r="G61" s="332"/>
      <c r="H61" s="323"/>
      <c r="I61" s="332"/>
      <c r="J61" s="323"/>
      <c r="K61" s="332"/>
      <c r="L61" s="265"/>
      <c r="M61" s="293"/>
      <c r="N61" s="265"/>
      <c r="O61" s="293"/>
      <c r="P61" s="265"/>
      <c r="Q61" s="293"/>
      <c r="R61" s="265"/>
      <c r="S61" s="293"/>
      <c r="T61" s="265"/>
      <c r="U61" s="293"/>
      <c r="V61" s="265"/>
      <c r="W61" s="293"/>
      <c r="X61" s="265"/>
      <c r="Y61" s="293"/>
      <c r="Z61" s="265"/>
      <c r="AA61" s="293"/>
      <c r="AB61" s="253"/>
      <c r="AC61" s="293"/>
      <c r="AD61" s="266"/>
      <c r="AE61" s="266"/>
      <c r="AF61" s="332"/>
      <c r="AG61" s="266"/>
      <c r="AH61" s="266"/>
      <c r="AI61" s="332"/>
      <c r="AJ61" s="266"/>
      <c r="AK61" s="320"/>
      <c r="AL61" s="704"/>
      <c r="AM61" s="662"/>
      <c r="AN61" s="670"/>
    </row>
    <row r="62" spans="1:43" ht="15.75">
      <c r="A62" s="227"/>
      <c r="B62" s="225" t="s">
        <v>24</v>
      </c>
      <c r="C62" s="227"/>
      <c r="D62" s="227"/>
      <c r="E62" s="323"/>
      <c r="F62" s="323"/>
      <c r="G62" s="323"/>
      <c r="H62" s="323"/>
      <c r="I62" s="323"/>
      <c r="J62" s="323"/>
      <c r="K62" s="323"/>
      <c r="L62" s="265"/>
      <c r="M62" s="265"/>
      <c r="N62" s="265"/>
      <c r="O62" s="265"/>
      <c r="P62" s="265"/>
      <c r="Q62" s="265"/>
      <c r="R62" s="265"/>
      <c r="S62" s="265"/>
      <c r="T62" s="265"/>
      <c r="U62" s="265"/>
      <c r="V62" s="265"/>
      <c r="W62" s="265"/>
      <c r="X62" s="265"/>
      <c r="Y62" s="265"/>
      <c r="Z62" s="265"/>
      <c r="AA62" s="265"/>
      <c r="AB62" s="265"/>
      <c r="AC62" s="265"/>
      <c r="AD62" s="323"/>
      <c r="AE62" s="1328"/>
      <c r="AF62" s="323"/>
      <c r="AG62" s="2408"/>
      <c r="AH62" s="266"/>
      <c r="AI62" s="323"/>
      <c r="AJ62" s="323"/>
      <c r="AK62" s="2453"/>
      <c r="AL62" s="704"/>
      <c r="AM62" s="662"/>
      <c r="AN62" s="670"/>
    </row>
    <row r="63" spans="1:43" ht="15.75">
      <c r="A63" s="227"/>
      <c r="B63" s="227" t="s">
        <v>159</v>
      </c>
      <c r="C63" s="227"/>
      <c r="D63" s="227"/>
      <c r="E63" s="323"/>
      <c r="F63" s="323"/>
      <c r="G63" s="323"/>
      <c r="H63" s="323"/>
      <c r="I63" s="323"/>
      <c r="J63" s="323"/>
      <c r="K63" s="323"/>
      <c r="L63" s="265"/>
      <c r="M63" s="265"/>
      <c r="N63" s="265"/>
      <c r="O63" s="265"/>
      <c r="P63" s="265"/>
      <c r="Q63" s="265"/>
      <c r="R63" s="265"/>
      <c r="S63" s="265"/>
      <c r="T63" s="265"/>
      <c r="U63" s="265"/>
      <c r="V63" s="265"/>
      <c r="W63" s="265"/>
      <c r="X63" s="265"/>
      <c r="Y63" s="265"/>
      <c r="Z63" s="265"/>
      <c r="AA63" s="265"/>
      <c r="AB63" s="265"/>
      <c r="AC63" s="265"/>
      <c r="AD63" s="323"/>
      <c r="AE63" s="1328"/>
      <c r="AF63" s="324"/>
      <c r="AG63" s="2408"/>
      <c r="AH63" s="266"/>
      <c r="AI63" s="323"/>
      <c r="AJ63" s="323"/>
      <c r="AK63" s="2453"/>
      <c r="AL63" s="704"/>
      <c r="AM63" s="662"/>
      <c r="AN63" s="670"/>
    </row>
    <row r="64" spans="1:43" ht="15.75">
      <c r="A64" s="227"/>
      <c r="B64" s="227" t="s">
        <v>26</v>
      </c>
      <c r="C64" s="227"/>
      <c r="D64" s="227"/>
      <c r="E64" s="2406">
        <v>0.5</v>
      </c>
      <c r="F64" s="323"/>
      <c r="G64" s="2406">
        <v>0.2</v>
      </c>
      <c r="H64" s="323"/>
      <c r="I64" s="2406">
        <v>0.2</v>
      </c>
      <c r="J64" s="323"/>
      <c r="K64" s="2406">
        <v>13.1</v>
      </c>
      <c r="L64" s="265"/>
      <c r="M64" s="522">
        <v>1</v>
      </c>
      <c r="N64" s="265"/>
      <c r="O64" s="522">
        <v>0.3</v>
      </c>
      <c r="P64" s="265"/>
      <c r="Q64" s="522">
        <v>0.9</v>
      </c>
      <c r="R64" s="265"/>
      <c r="S64" s="522"/>
      <c r="T64" s="265"/>
      <c r="U64" s="522"/>
      <c r="V64" s="265"/>
      <c r="W64" s="522"/>
      <c r="X64" s="265"/>
      <c r="Y64" s="522"/>
      <c r="Z64" s="265"/>
      <c r="AA64" s="522"/>
      <c r="AB64" s="522"/>
      <c r="AC64" s="1245">
        <v>0</v>
      </c>
      <c r="AD64" s="323"/>
      <c r="AE64" s="1328"/>
      <c r="AF64" s="324">
        <f>ROUND(SUM(E64:AC64),1)</f>
        <v>16.2</v>
      </c>
      <c r="AG64" s="2408"/>
      <c r="AH64" s="266"/>
      <c r="AI64" s="323">
        <v>22.5</v>
      </c>
      <c r="AJ64" s="324"/>
      <c r="AK64" s="2409"/>
      <c r="AL64" s="324">
        <f t="shared" ref="AL64:AL73" si="2">ROUND(AF64-AI64,1)</f>
        <v>-6.3</v>
      </c>
      <c r="AM64" s="672"/>
      <c r="AN64" s="45">
        <f>ROUND(IF(AI64=0,0,AL64/(AI64)),3)</f>
        <v>-0.28000000000000003</v>
      </c>
    </row>
    <row r="65" spans="1:43" ht="15.75">
      <c r="A65" s="227"/>
      <c r="B65" s="227" t="s">
        <v>27</v>
      </c>
      <c r="C65" s="227"/>
      <c r="D65" s="227"/>
      <c r="E65" s="1321">
        <v>2.2999999999999998</v>
      </c>
      <c r="F65" s="323"/>
      <c r="G65" s="2406">
        <v>4.0999999999999996</v>
      </c>
      <c r="H65" s="323"/>
      <c r="I65" s="2406">
        <v>6.9</v>
      </c>
      <c r="J65" s="323"/>
      <c r="K65" s="2406">
        <v>9</v>
      </c>
      <c r="L65" s="265"/>
      <c r="M65" s="522">
        <v>4.2</v>
      </c>
      <c r="N65" s="265"/>
      <c r="O65" s="522">
        <v>5.6</v>
      </c>
      <c r="P65" s="265"/>
      <c r="Q65" s="522">
        <v>8.6</v>
      </c>
      <c r="R65" s="265"/>
      <c r="S65" s="522"/>
      <c r="T65" s="265"/>
      <c r="U65" s="522"/>
      <c r="V65" s="265"/>
      <c r="W65" s="522"/>
      <c r="X65" s="265"/>
      <c r="Y65" s="522"/>
      <c r="Z65" s="265"/>
      <c r="AA65" s="377"/>
      <c r="AB65" s="377"/>
      <c r="AC65" s="1245">
        <v>0</v>
      </c>
      <c r="AD65" s="323"/>
      <c r="AE65" s="1328"/>
      <c r="AF65" s="324">
        <f>ROUND(SUM(E65:AC65),1)</f>
        <v>40.700000000000003</v>
      </c>
      <c r="AG65" s="2408"/>
      <c r="AH65" s="266"/>
      <c r="AI65" s="323">
        <v>57.5</v>
      </c>
      <c r="AJ65" s="324"/>
      <c r="AK65" s="2409"/>
      <c r="AL65" s="324">
        <f t="shared" si="2"/>
        <v>-16.8</v>
      </c>
      <c r="AM65" s="672"/>
      <c r="AN65" s="45">
        <f>ROUND(IF(AI65=0,0,AL65/(AI65)),3)</f>
        <v>-0.29199999999999998</v>
      </c>
    </row>
    <row r="66" spans="1:43" ht="15.75">
      <c r="A66" s="227"/>
      <c r="B66" s="227" t="s">
        <v>28</v>
      </c>
      <c r="C66" s="227"/>
      <c r="D66" s="227"/>
      <c r="E66" s="2406">
        <v>1.2</v>
      </c>
      <c r="F66" s="323"/>
      <c r="G66" s="2406">
        <v>0.3</v>
      </c>
      <c r="H66" s="323"/>
      <c r="I66" s="2406">
        <v>2.6</v>
      </c>
      <c r="J66" s="323"/>
      <c r="K66" s="2406">
        <v>1.7</v>
      </c>
      <c r="L66" s="265"/>
      <c r="M66" s="522">
        <v>2.2999999999999998</v>
      </c>
      <c r="N66" s="265"/>
      <c r="O66" s="522">
        <v>2.5</v>
      </c>
      <c r="P66" s="265"/>
      <c r="Q66" s="522">
        <v>16.899999999999999</v>
      </c>
      <c r="R66" s="265"/>
      <c r="S66" s="522"/>
      <c r="T66" s="265"/>
      <c r="U66" s="522"/>
      <c r="V66" s="265"/>
      <c r="W66" s="522"/>
      <c r="X66" s="265"/>
      <c r="Y66" s="522"/>
      <c r="Z66" s="265"/>
      <c r="AA66" s="522"/>
      <c r="AB66" s="522"/>
      <c r="AC66" s="1245">
        <v>0</v>
      </c>
      <c r="AD66" s="323"/>
      <c r="AE66" s="1328"/>
      <c r="AF66" s="324">
        <f>ROUND(SUM(E66:AC66),1)</f>
        <v>27.5</v>
      </c>
      <c r="AG66" s="2408"/>
      <c r="AH66" s="266"/>
      <c r="AI66" s="323">
        <v>30.8</v>
      </c>
      <c r="AJ66" s="324"/>
      <c r="AK66" s="2409"/>
      <c r="AL66" s="324">
        <f t="shared" si="2"/>
        <v>-3.3</v>
      </c>
      <c r="AM66" s="672"/>
      <c r="AN66" s="45">
        <f>ROUND(IF(AI66=0,0,AL66/(AI66)),3)</f>
        <v>-0.107</v>
      </c>
      <c r="AO66" s="662"/>
    </row>
    <row r="67" spans="1:43" ht="15.75">
      <c r="A67" s="227"/>
      <c r="B67" s="227" t="s">
        <v>29</v>
      </c>
      <c r="C67" s="227"/>
      <c r="D67" s="227"/>
      <c r="E67" s="333"/>
      <c r="F67" s="323"/>
      <c r="G67" s="2406"/>
      <c r="H67" s="323"/>
      <c r="I67" s="323"/>
      <c r="J67" s="323"/>
      <c r="K67" s="2406"/>
      <c r="L67" s="265"/>
      <c r="M67" s="522"/>
      <c r="N67" s="265"/>
      <c r="O67" s="522"/>
      <c r="P67" s="265"/>
      <c r="Q67" s="522"/>
      <c r="R67" s="265"/>
      <c r="S67" s="522"/>
      <c r="T67" s="265"/>
      <c r="U67" s="522"/>
      <c r="V67" s="265"/>
      <c r="W67" s="522"/>
      <c r="X67" s="265"/>
      <c r="Y67" s="522"/>
      <c r="Z67" s="265"/>
      <c r="AA67" s="522"/>
      <c r="AB67" s="522"/>
      <c r="AC67" s="522"/>
      <c r="AD67" s="323"/>
      <c r="AE67" s="1328"/>
      <c r="AF67" s="324"/>
      <c r="AG67" s="2408"/>
      <c r="AH67" s="266"/>
      <c r="AI67" s="323"/>
      <c r="AJ67" s="323"/>
      <c r="AK67" s="2453"/>
      <c r="AL67" s="1400"/>
      <c r="AM67" s="672"/>
      <c r="AN67" s="670"/>
      <c r="AO67" s="662"/>
    </row>
    <row r="68" spans="1:43" ht="15.75">
      <c r="A68" s="227"/>
      <c r="B68" s="227" t="s">
        <v>30</v>
      </c>
      <c r="C68" s="225"/>
      <c r="D68" s="227"/>
      <c r="E68" s="333">
        <v>0</v>
      </c>
      <c r="F68" s="323"/>
      <c r="G68" s="333">
        <v>0</v>
      </c>
      <c r="H68" s="323"/>
      <c r="I68" s="333">
        <v>0</v>
      </c>
      <c r="J68" s="323"/>
      <c r="K68" s="333">
        <v>0</v>
      </c>
      <c r="L68" s="265"/>
      <c r="M68" s="270">
        <v>0</v>
      </c>
      <c r="N68" s="265"/>
      <c r="O68" s="270">
        <v>0</v>
      </c>
      <c r="P68" s="265"/>
      <c r="Q68" s="270">
        <v>0</v>
      </c>
      <c r="R68" s="265"/>
      <c r="S68" s="270"/>
      <c r="T68" s="265"/>
      <c r="U68" s="270"/>
      <c r="V68" s="265"/>
      <c r="W68" s="270"/>
      <c r="X68" s="265"/>
      <c r="Y68" s="522"/>
      <c r="Z68" s="265"/>
      <c r="AA68" s="522"/>
      <c r="AB68" s="522"/>
      <c r="AC68" s="1245">
        <v>0</v>
      </c>
      <c r="AD68" s="323"/>
      <c r="AE68" s="1328"/>
      <c r="AF68" s="324">
        <f t="shared" ref="AF68:AF73" si="3">ROUND(SUM(E68:AC68),1)</f>
        <v>0</v>
      </c>
      <c r="AG68" s="2408"/>
      <c r="AH68" s="266"/>
      <c r="AI68" s="333">
        <v>0</v>
      </c>
      <c r="AJ68" s="323"/>
      <c r="AK68" s="2453"/>
      <c r="AL68" s="324">
        <f t="shared" si="2"/>
        <v>0</v>
      </c>
      <c r="AM68" s="662"/>
      <c r="AN68" s="45">
        <f t="shared" ref="AN68:AN73" si="4">ROUND(IF(AI68=0,0,AL68/(AI68)),3)</f>
        <v>0</v>
      </c>
      <c r="AO68" s="662"/>
    </row>
    <row r="69" spans="1:43" ht="15.75">
      <c r="A69" s="227"/>
      <c r="B69" s="227" t="s">
        <v>31</v>
      </c>
      <c r="C69" s="227"/>
      <c r="D69" s="227"/>
      <c r="E69" s="1321">
        <v>4.9000000000000004</v>
      </c>
      <c r="F69" s="323"/>
      <c r="G69" s="2406">
        <v>1.7</v>
      </c>
      <c r="H69" s="323"/>
      <c r="I69" s="2406">
        <v>5.5</v>
      </c>
      <c r="J69" s="323"/>
      <c r="K69" s="2406">
        <v>6.9</v>
      </c>
      <c r="L69" s="265"/>
      <c r="M69" s="522">
        <v>5.6</v>
      </c>
      <c r="N69" s="265"/>
      <c r="O69" s="522">
        <v>3.1</v>
      </c>
      <c r="P69" s="265"/>
      <c r="Q69" s="522">
        <v>6.5</v>
      </c>
      <c r="R69" s="265"/>
      <c r="S69" s="522"/>
      <c r="T69" s="265"/>
      <c r="U69" s="522"/>
      <c r="V69" s="265"/>
      <c r="W69" s="522"/>
      <c r="X69" s="265"/>
      <c r="Y69" s="522"/>
      <c r="Z69" s="265"/>
      <c r="AA69" s="377"/>
      <c r="AB69" s="377"/>
      <c r="AC69" s="1245">
        <v>0</v>
      </c>
      <c r="AD69" s="323"/>
      <c r="AE69" s="1328"/>
      <c r="AF69" s="324">
        <f t="shared" si="3"/>
        <v>34.200000000000003</v>
      </c>
      <c r="AG69" s="2408"/>
      <c r="AH69" s="266"/>
      <c r="AI69" s="323">
        <v>136.80000000000001</v>
      </c>
      <c r="AJ69" s="324"/>
      <c r="AK69" s="2409"/>
      <c r="AL69" s="324">
        <f t="shared" si="2"/>
        <v>-102.6</v>
      </c>
      <c r="AM69" s="672"/>
      <c r="AN69" s="45">
        <f t="shared" si="4"/>
        <v>-0.75</v>
      </c>
    </row>
    <row r="70" spans="1:43" ht="15.75">
      <c r="A70" s="227"/>
      <c r="B70" s="227" t="s">
        <v>32</v>
      </c>
      <c r="C70" s="227"/>
      <c r="D70" s="227"/>
      <c r="E70" s="333">
        <v>0</v>
      </c>
      <c r="F70" s="323"/>
      <c r="G70" s="333">
        <v>0</v>
      </c>
      <c r="H70" s="323"/>
      <c r="I70" s="333">
        <v>0</v>
      </c>
      <c r="J70" s="323"/>
      <c r="K70" s="333">
        <v>0</v>
      </c>
      <c r="L70" s="265"/>
      <c r="M70" s="270">
        <v>0</v>
      </c>
      <c r="N70" s="265"/>
      <c r="O70" s="270">
        <v>0</v>
      </c>
      <c r="P70" s="265"/>
      <c r="Q70" s="270">
        <v>0</v>
      </c>
      <c r="R70" s="265"/>
      <c r="S70" s="270"/>
      <c r="T70" s="265"/>
      <c r="U70" s="270"/>
      <c r="V70" s="265"/>
      <c r="W70" s="270"/>
      <c r="X70" s="265"/>
      <c r="Y70" s="522"/>
      <c r="Z70" s="265"/>
      <c r="AA70" s="522"/>
      <c r="AB70" s="522"/>
      <c r="AC70" s="1245">
        <v>0</v>
      </c>
      <c r="AD70" s="323"/>
      <c r="AE70" s="1328"/>
      <c r="AF70" s="324">
        <f t="shared" si="3"/>
        <v>0</v>
      </c>
      <c r="AG70" s="2408"/>
      <c r="AH70" s="266"/>
      <c r="AI70" s="333">
        <v>0</v>
      </c>
      <c r="AJ70" s="324"/>
      <c r="AK70" s="2409"/>
      <c r="AL70" s="324">
        <f t="shared" si="2"/>
        <v>0</v>
      </c>
      <c r="AM70" s="672"/>
      <c r="AN70" s="45">
        <f t="shared" si="4"/>
        <v>0</v>
      </c>
      <c r="AO70" s="662"/>
    </row>
    <row r="71" spans="1:43" ht="15.75">
      <c r="A71" s="227"/>
      <c r="B71" s="227" t="s">
        <v>33</v>
      </c>
      <c r="C71" s="227"/>
      <c r="D71" s="227"/>
      <c r="E71" s="333">
        <v>0</v>
      </c>
      <c r="F71" s="323"/>
      <c r="G71" s="2406">
        <v>5.5</v>
      </c>
      <c r="H71" s="323"/>
      <c r="I71" s="333">
        <v>20.3</v>
      </c>
      <c r="J71" s="323"/>
      <c r="K71" s="2406">
        <v>13.9</v>
      </c>
      <c r="L71" s="265"/>
      <c r="M71" s="522">
        <v>0</v>
      </c>
      <c r="N71" s="265"/>
      <c r="O71" s="522">
        <v>0</v>
      </c>
      <c r="P71" s="265"/>
      <c r="Q71" s="270">
        <v>7.5</v>
      </c>
      <c r="R71" s="265"/>
      <c r="S71" s="270"/>
      <c r="T71" s="265"/>
      <c r="U71" s="522"/>
      <c r="V71" s="265"/>
      <c r="W71" s="522"/>
      <c r="X71" s="265"/>
      <c r="Y71" s="522"/>
      <c r="Z71" s="265"/>
      <c r="AA71" s="522"/>
      <c r="AB71" s="522"/>
      <c r="AC71" s="1245">
        <v>0</v>
      </c>
      <c r="AD71" s="323"/>
      <c r="AE71" s="1328"/>
      <c r="AF71" s="324">
        <f t="shared" si="3"/>
        <v>47.2</v>
      </c>
      <c r="AG71" s="2408"/>
      <c r="AH71" s="266"/>
      <c r="AI71" s="323">
        <v>80</v>
      </c>
      <c r="AJ71" s="323"/>
      <c r="AK71" s="2453"/>
      <c r="AL71" s="324">
        <f t="shared" si="2"/>
        <v>-32.799999999999997</v>
      </c>
      <c r="AM71" s="672"/>
      <c r="AN71" s="45">
        <f t="shared" si="4"/>
        <v>-0.41</v>
      </c>
      <c r="AO71" s="662"/>
    </row>
    <row r="72" spans="1:43" ht="15.75">
      <c r="A72" s="227"/>
      <c r="B72" s="227" t="s">
        <v>34</v>
      </c>
      <c r="C72" s="225"/>
      <c r="D72" s="227"/>
      <c r="E72" s="323">
        <v>4</v>
      </c>
      <c r="F72" s="323"/>
      <c r="G72" s="2406">
        <v>2</v>
      </c>
      <c r="H72" s="323"/>
      <c r="I72" s="2406">
        <v>4.3</v>
      </c>
      <c r="J72" s="323"/>
      <c r="K72" s="2406">
        <v>36.299999999999997</v>
      </c>
      <c r="L72" s="265"/>
      <c r="M72" s="522">
        <v>5.5</v>
      </c>
      <c r="N72" s="265"/>
      <c r="O72" s="522">
        <v>9.6</v>
      </c>
      <c r="P72" s="265"/>
      <c r="Q72" s="522">
        <v>18.5</v>
      </c>
      <c r="R72" s="265"/>
      <c r="S72" s="522"/>
      <c r="T72" s="265"/>
      <c r="U72" s="522"/>
      <c r="V72" s="265"/>
      <c r="W72" s="522"/>
      <c r="X72" s="265"/>
      <c r="Y72" s="522"/>
      <c r="Z72" s="265"/>
      <c r="AA72" s="522"/>
      <c r="AB72" s="522"/>
      <c r="AC72" s="1245">
        <v>0</v>
      </c>
      <c r="AD72" s="323"/>
      <c r="AE72" s="1328"/>
      <c r="AF72" s="324">
        <f t="shared" si="3"/>
        <v>80.2</v>
      </c>
      <c r="AG72" s="2408"/>
      <c r="AH72" s="266"/>
      <c r="AI72" s="323">
        <v>239.8</v>
      </c>
      <c r="AJ72" s="323"/>
      <c r="AK72" s="2453"/>
      <c r="AL72" s="324">
        <f t="shared" si="2"/>
        <v>-159.6</v>
      </c>
      <c r="AM72" s="662"/>
      <c r="AN72" s="45">
        <f t="shared" si="4"/>
        <v>-0.66600000000000004</v>
      </c>
      <c r="AO72" s="662"/>
    </row>
    <row r="73" spans="1:43" ht="15.75">
      <c r="A73" s="227"/>
      <c r="B73" s="227" t="s">
        <v>35</v>
      </c>
      <c r="C73" s="227"/>
      <c r="D73" s="227"/>
      <c r="E73" s="2406">
        <v>4.5</v>
      </c>
      <c r="F73" s="323"/>
      <c r="G73" s="2434">
        <v>1.1000000000000001</v>
      </c>
      <c r="H73" s="323"/>
      <c r="I73" s="531">
        <v>38.5</v>
      </c>
      <c r="J73" s="323"/>
      <c r="K73" s="2406">
        <v>2.9</v>
      </c>
      <c r="L73" s="265"/>
      <c r="M73" s="522">
        <v>3.6</v>
      </c>
      <c r="N73" s="265"/>
      <c r="O73" s="522">
        <v>102.7</v>
      </c>
      <c r="P73" s="265"/>
      <c r="Q73" s="522">
        <v>7.3</v>
      </c>
      <c r="R73" s="265"/>
      <c r="S73" s="522"/>
      <c r="T73" s="265"/>
      <c r="U73" s="522"/>
      <c r="V73" s="265"/>
      <c r="W73" s="284"/>
      <c r="X73" s="265"/>
      <c r="Y73" s="522"/>
      <c r="Z73" s="265"/>
      <c r="AA73" s="284"/>
      <c r="AB73" s="258"/>
      <c r="AC73" s="1245">
        <v>0</v>
      </c>
      <c r="AD73" s="323"/>
      <c r="AE73" s="1328"/>
      <c r="AF73" s="324">
        <f t="shared" si="3"/>
        <v>160.6</v>
      </c>
      <c r="AG73" s="2408"/>
      <c r="AH73" s="266"/>
      <c r="AI73" s="1982">
        <v>76.099999999999994</v>
      </c>
      <c r="AJ73" s="266"/>
      <c r="AK73" s="2453"/>
      <c r="AL73" s="324">
        <f t="shared" si="2"/>
        <v>84.5</v>
      </c>
      <c r="AM73" s="672"/>
      <c r="AN73" s="45">
        <f t="shared" si="4"/>
        <v>1.1100000000000001</v>
      </c>
      <c r="AO73" s="662"/>
    </row>
    <row r="74" spans="1:43" ht="15.75">
      <c r="A74" s="227"/>
      <c r="B74" s="225" t="s">
        <v>209</v>
      </c>
      <c r="C74" s="227"/>
      <c r="D74" s="227"/>
      <c r="E74" s="2435">
        <f>ROUND(SUM(E64:E73),1)</f>
        <v>17.399999999999999</v>
      </c>
      <c r="F74" s="317"/>
      <c r="G74" s="2435">
        <f>ROUND(SUM(G64:G73),1)</f>
        <v>14.9</v>
      </c>
      <c r="H74" s="317"/>
      <c r="I74" s="2435">
        <f>ROUND(SUM(I64:I73),1)</f>
        <v>78.3</v>
      </c>
      <c r="J74" s="320"/>
      <c r="K74" s="2435">
        <f>ROUND(SUM(K64:K73),1)</f>
        <v>83.8</v>
      </c>
      <c r="L74" s="261"/>
      <c r="M74" s="550">
        <f>ROUND(SUM(M64:M73),1)</f>
        <v>22.2</v>
      </c>
      <c r="N74" s="277"/>
      <c r="O74" s="550">
        <f>ROUND(SUM(O64:O73),1)</f>
        <v>123.8</v>
      </c>
      <c r="P74" s="261"/>
      <c r="Q74" s="550">
        <f>ROUND(SUM(Q64:Q73),1)</f>
        <v>66.2</v>
      </c>
      <c r="R74" s="261"/>
      <c r="S74" s="550">
        <f>ROUND(SUM(S64:S73),1)</f>
        <v>0</v>
      </c>
      <c r="T74" s="261"/>
      <c r="U74" s="550">
        <f>ROUND(SUM(U64:U73),1)</f>
        <v>0</v>
      </c>
      <c r="V74" s="261"/>
      <c r="W74" s="550">
        <f>ROUND(SUM(W64:W73),1)</f>
        <v>0</v>
      </c>
      <c r="X74" s="261"/>
      <c r="Y74" s="550">
        <f>ROUND(SUM(Y64:Y73),1)</f>
        <v>0</v>
      </c>
      <c r="Z74" s="261"/>
      <c r="AA74" s="550">
        <f>ROUND(SUM(AA64:AA73),1)</f>
        <v>0</v>
      </c>
      <c r="AB74" s="277"/>
      <c r="AC74" s="550">
        <f>ROUND(SUM(AC64:AC73),1)</f>
        <v>0</v>
      </c>
      <c r="AD74" s="317"/>
      <c r="AE74" s="1329"/>
      <c r="AF74" s="2435">
        <f>ROUND(SUM(AF64:AF73),1)</f>
        <v>406.6</v>
      </c>
      <c r="AG74" s="2413"/>
      <c r="AH74" s="320"/>
      <c r="AI74" s="2435">
        <f>ROUND(SUM(AI64:AI73),1)</f>
        <v>643.5</v>
      </c>
      <c r="AJ74" s="320"/>
      <c r="AK74" s="2453"/>
      <c r="AL74" s="2435">
        <f>ROUND(SUM(AL64:AL73),1)</f>
        <v>-236.9</v>
      </c>
      <c r="AM74" s="680"/>
      <c r="AN74" s="74">
        <f>ROUND(IF(AI74=0,0,AL74/(AI74)),3)</f>
        <v>-0.36799999999999999</v>
      </c>
      <c r="AQ74" s="374"/>
    </row>
    <row r="75" spans="1:43" ht="15.75">
      <c r="A75" s="227"/>
      <c r="B75" s="227" t="s">
        <v>210</v>
      </c>
      <c r="C75" s="227"/>
      <c r="D75" s="227"/>
      <c r="E75" s="323"/>
      <c r="F75" s="323"/>
      <c r="G75" s="323"/>
      <c r="H75" s="323"/>
      <c r="I75" s="323"/>
      <c r="J75" s="323"/>
      <c r="K75" s="323"/>
      <c r="L75" s="265"/>
      <c r="M75" s="265"/>
      <c r="N75" s="265"/>
      <c r="O75" s="265"/>
      <c r="P75" s="265"/>
      <c r="Q75" s="265"/>
      <c r="R75" s="265"/>
      <c r="S75" s="265"/>
      <c r="T75" s="265"/>
      <c r="U75" s="265"/>
      <c r="V75" s="265"/>
      <c r="W75" s="265"/>
      <c r="X75" s="265"/>
      <c r="Y75" s="265"/>
      <c r="Z75" s="265"/>
      <c r="AA75" s="265"/>
      <c r="AB75" s="265"/>
      <c r="AC75" s="265"/>
      <c r="AD75" s="323"/>
      <c r="AE75" s="1328"/>
      <c r="AF75" s="323"/>
      <c r="AG75" s="2408"/>
      <c r="AH75" s="266"/>
      <c r="AI75" s="323"/>
      <c r="AJ75" s="323"/>
      <c r="AK75" s="2453"/>
      <c r="AL75" s="704"/>
      <c r="AM75" s="662"/>
      <c r="AN75" s="670"/>
    </row>
    <row r="76" spans="1:43" ht="15.75">
      <c r="A76" s="227"/>
      <c r="B76" s="227" t="s">
        <v>211</v>
      </c>
      <c r="C76" s="227"/>
      <c r="D76" s="227"/>
      <c r="E76" s="703">
        <v>0</v>
      </c>
      <c r="F76" s="323"/>
      <c r="G76" s="703">
        <v>0</v>
      </c>
      <c r="H76" s="323"/>
      <c r="I76" s="703">
        <v>0</v>
      </c>
      <c r="J76" s="323"/>
      <c r="K76" s="703">
        <v>0</v>
      </c>
      <c r="L76" s="265"/>
      <c r="M76" s="377">
        <v>0</v>
      </c>
      <c r="N76" s="265"/>
      <c r="O76" s="377">
        <v>0</v>
      </c>
      <c r="P76" s="265"/>
      <c r="Q76" s="377">
        <v>0</v>
      </c>
      <c r="R76" s="265"/>
      <c r="S76" s="377"/>
      <c r="T76" s="265"/>
      <c r="U76" s="377"/>
      <c r="V76" s="265"/>
      <c r="W76" s="377"/>
      <c r="X76" s="265"/>
      <c r="Y76" s="377"/>
      <c r="Z76" s="265"/>
      <c r="AA76" s="377"/>
      <c r="AB76" s="377"/>
      <c r="AC76" s="1245">
        <v>0</v>
      </c>
      <c r="AD76" s="323"/>
      <c r="AE76" s="1328"/>
      <c r="AF76" s="324">
        <f>ROUND(SUM(E76:AC76),1)</f>
        <v>0</v>
      </c>
      <c r="AG76" s="2408"/>
      <c r="AH76" s="266"/>
      <c r="AI76" s="703">
        <v>0</v>
      </c>
      <c r="AJ76" s="333"/>
      <c r="AK76" s="2461"/>
      <c r="AL76" s="324">
        <f>ROUND(AF76-AI76,1)</f>
        <v>0</v>
      </c>
      <c r="AM76" s="662"/>
      <c r="AN76" s="45">
        <f>ROUND(IF(AI76=0,0,AL76/(AI76)),3)</f>
        <v>0</v>
      </c>
    </row>
    <row r="77" spans="1:43" ht="15.75">
      <c r="A77" s="227"/>
      <c r="B77" s="227" t="s">
        <v>212</v>
      </c>
      <c r="C77" s="227"/>
      <c r="D77" s="227"/>
      <c r="E77" s="703">
        <v>0</v>
      </c>
      <c r="F77" s="323"/>
      <c r="G77" s="703">
        <v>0</v>
      </c>
      <c r="H77" s="323"/>
      <c r="I77" s="703">
        <v>0</v>
      </c>
      <c r="J77" s="323"/>
      <c r="K77" s="703">
        <v>0</v>
      </c>
      <c r="L77" s="265"/>
      <c r="M77" s="377">
        <v>0</v>
      </c>
      <c r="N77" s="265"/>
      <c r="O77" s="377">
        <v>0</v>
      </c>
      <c r="P77" s="265"/>
      <c r="Q77" s="377">
        <v>0</v>
      </c>
      <c r="R77" s="265"/>
      <c r="S77" s="377"/>
      <c r="T77" s="265"/>
      <c r="U77" s="377"/>
      <c r="V77" s="265"/>
      <c r="W77" s="377"/>
      <c r="X77" s="265"/>
      <c r="Y77" s="377"/>
      <c r="Z77" s="265"/>
      <c r="AA77" s="377"/>
      <c r="AB77" s="377"/>
      <c r="AC77" s="1245">
        <v>0</v>
      </c>
      <c r="AD77" s="323"/>
      <c r="AE77" s="1328"/>
      <c r="AF77" s="324">
        <f>ROUND(SUM(E77:AC77),1)</f>
        <v>0</v>
      </c>
      <c r="AG77" s="2408"/>
      <c r="AH77" s="266"/>
      <c r="AI77" s="703">
        <v>0</v>
      </c>
      <c r="AJ77" s="333"/>
      <c r="AK77" s="2461"/>
      <c r="AL77" s="324">
        <f>ROUND(AF77-AI77,1)</f>
        <v>0</v>
      </c>
      <c r="AM77" s="662"/>
      <c r="AN77" s="45">
        <f>ROUND(IF(AI77=0,0,AL77/(AI77)),3)</f>
        <v>0</v>
      </c>
    </row>
    <row r="78" spans="1:43" ht="15.75">
      <c r="A78" s="227"/>
      <c r="B78" s="227" t="s">
        <v>213</v>
      </c>
      <c r="C78" s="227"/>
      <c r="D78" s="227"/>
      <c r="E78" s="703">
        <v>0</v>
      </c>
      <c r="F78" s="323"/>
      <c r="G78" s="703">
        <v>0</v>
      </c>
      <c r="H78" s="323"/>
      <c r="I78" s="703">
        <v>0</v>
      </c>
      <c r="J78" s="323"/>
      <c r="K78" s="703">
        <v>0</v>
      </c>
      <c r="L78" s="265"/>
      <c r="M78" s="377">
        <v>0</v>
      </c>
      <c r="N78" s="265"/>
      <c r="O78" s="377">
        <v>0</v>
      </c>
      <c r="P78" s="265"/>
      <c r="Q78" s="377">
        <v>0</v>
      </c>
      <c r="R78" s="265"/>
      <c r="S78" s="377"/>
      <c r="T78" s="265"/>
      <c r="U78" s="377"/>
      <c r="V78" s="265"/>
      <c r="W78" s="377"/>
      <c r="X78" s="265"/>
      <c r="Y78" s="377"/>
      <c r="Z78" s="683"/>
      <c r="AA78" s="377"/>
      <c r="AB78" s="377"/>
      <c r="AC78" s="1245">
        <v>0</v>
      </c>
      <c r="AD78" s="2462"/>
      <c r="AE78" s="2463"/>
      <c r="AF78" s="324">
        <f>ROUND(SUM(E78:AC78),1)</f>
        <v>0</v>
      </c>
      <c r="AG78" s="2408"/>
      <c r="AH78" s="266"/>
      <c r="AI78" s="703">
        <v>0</v>
      </c>
      <c r="AJ78" s="333"/>
      <c r="AK78" s="2461"/>
      <c r="AL78" s="324">
        <f>ROUND(AF78-AI78,1)</f>
        <v>0</v>
      </c>
      <c r="AM78" s="662"/>
      <c r="AN78" s="45">
        <f>ROUND(IF(AI78=0,0,AL78/(AI78)),3)</f>
        <v>0</v>
      </c>
    </row>
    <row r="79" spans="1:43" ht="15.75">
      <c r="A79" s="227"/>
      <c r="B79" s="251" t="s">
        <v>181</v>
      </c>
      <c r="C79" s="227"/>
      <c r="D79" s="227"/>
      <c r="E79" s="324">
        <v>229.5</v>
      </c>
      <c r="F79" s="323"/>
      <c r="G79" s="531">
        <v>261.60000000000002</v>
      </c>
      <c r="H79" s="323"/>
      <c r="I79" s="531">
        <v>407.6</v>
      </c>
      <c r="J79" s="323"/>
      <c r="K79" s="2434">
        <v>359.7</v>
      </c>
      <c r="L79" s="265"/>
      <c r="M79" s="284">
        <v>370.6</v>
      </c>
      <c r="N79" s="265"/>
      <c r="O79" s="284">
        <v>433.4</v>
      </c>
      <c r="P79" s="265"/>
      <c r="Q79" s="284">
        <v>354.5</v>
      </c>
      <c r="R79" s="265"/>
      <c r="S79" s="284"/>
      <c r="T79" s="265"/>
      <c r="U79" s="284"/>
      <c r="V79" s="265"/>
      <c r="W79" s="284"/>
      <c r="X79" s="265"/>
      <c r="Y79" s="377"/>
      <c r="Z79" s="265"/>
      <c r="AA79" s="284"/>
      <c r="AB79" s="258"/>
      <c r="AC79" s="1245">
        <v>0</v>
      </c>
      <c r="AD79" s="323"/>
      <c r="AE79" s="1328"/>
      <c r="AF79" s="324">
        <f>ROUND(SUM(E79:AC79),1)</f>
        <v>2416.9</v>
      </c>
      <c r="AG79" s="2408"/>
      <c r="AH79" s="266"/>
      <c r="AI79" s="2038">
        <v>2507</v>
      </c>
      <c r="AJ79" s="271"/>
      <c r="AK79" s="2409"/>
      <c r="AL79" s="2464">
        <f>ROUND(AF79-AI79,1)</f>
        <v>-90.1</v>
      </c>
      <c r="AM79" s="662"/>
      <c r="AN79" s="2004">
        <f>ROUND(IF(AI79=0,0,AL79/(AI79)),3)</f>
        <v>-3.5999999999999997E-2</v>
      </c>
    </row>
    <row r="80" spans="1:43" ht="15.75">
      <c r="A80" s="227"/>
      <c r="B80" s="227"/>
      <c r="C80" s="227"/>
      <c r="D80" s="227"/>
      <c r="E80" s="332"/>
      <c r="F80" s="323"/>
      <c r="G80" s="332"/>
      <c r="H80" s="323"/>
      <c r="I80" s="332"/>
      <c r="J80" s="323"/>
      <c r="K80" s="332"/>
      <c r="L80" s="265"/>
      <c r="M80" s="293"/>
      <c r="N80" s="265"/>
      <c r="O80" s="293"/>
      <c r="P80" s="265"/>
      <c r="Q80" s="293"/>
      <c r="R80" s="265"/>
      <c r="S80" s="293"/>
      <c r="T80" s="265"/>
      <c r="U80" s="293"/>
      <c r="V80" s="265"/>
      <c r="W80" s="293"/>
      <c r="X80" s="265"/>
      <c r="Y80" s="293"/>
      <c r="Z80" s="265"/>
      <c r="AA80" s="293"/>
      <c r="AB80" s="253"/>
      <c r="AC80" s="293"/>
      <c r="AD80" s="323"/>
      <c r="AE80" s="1328"/>
      <c r="AF80" s="332"/>
      <c r="AG80" s="2408"/>
      <c r="AH80" s="266"/>
      <c r="AI80" s="704"/>
      <c r="AJ80" s="704"/>
      <c r="AK80" s="2465"/>
      <c r="AL80" s="704"/>
      <c r="AM80" s="662"/>
      <c r="AN80" s="670"/>
    </row>
    <row r="81" spans="1:43" ht="15.75">
      <c r="A81" s="227"/>
      <c r="B81" s="225" t="s">
        <v>214</v>
      </c>
      <c r="C81" s="227"/>
      <c r="D81" s="227"/>
      <c r="E81" s="317">
        <f>ROUND(SUM(E74:E79),1)</f>
        <v>246.9</v>
      </c>
      <c r="F81" s="317"/>
      <c r="G81" s="317">
        <f>ROUND(SUM(G74:G79),1)</f>
        <v>276.5</v>
      </c>
      <c r="H81" s="317"/>
      <c r="I81" s="317">
        <f>ROUND(SUM(I74:I79),1)</f>
        <v>485.9</v>
      </c>
      <c r="J81" s="317"/>
      <c r="K81" s="317">
        <f>ROUND(SUM(K74:K79),1)</f>
        <v>443.5</v>
      </c>
      <c r="L81" s="261"/>
      <c r="M81" s="261">
        <f>ROUND(SUM(M74:M79),1)</f>
        <v>392.8</v>
      </c>
      <c r="N81" s="261"/>
      <c r="O81" s="261">
        <f>ROUND(SUM(O74:O79),1)</f>
        <v>557.20000000000005</v>
      </c>
      <c r="P81" s="261"/>
      <c r="Q81" s="261">
        <f>ROUND(SUM(Q74:Q79),1)</f>
        <v>420.7</v>
      </c>
      <c r="R81" s="261"/>
      <c r="S81" s="261">
        <f>ROUND(SUM(S74:S79),1)</f>
        <v>0</v>
      </c>
      <c r="T81" s="261"/>
      <c r="U81" s="261">
        <f>ROUND(SUM(U74:U79),1)</f>
        <v>0</v>
      </c>
      <c r="V81" s="261"/>
      <c r="W81" s="261">
        <f>ROUND(SUM(W74:W79),1)</f>
        <v>0</v>
      </c>
      <c r="X81" s="261"/>
      <c r="Y81" s="261">
        <f>ROUND(SUM(Y74:Y79),1)</f>
        <v>0</v>
      </c>
      <c r="Z81" s="261"/>
      <c r="AA81" s="261">
        <f>ROUND(SUM(AA74:AA79),1)</f>
        <v>0</v>
      </c>
      <c r="AB81" s="2154"/>
      <c r="AC81" s="2154">
        <f>ROUND(SUM(AC74:AC79),1)</f>
        <v>0</v>
      </c>
      <c r="AD81" s="317"/>
      <c r="AE81" s="1329"/>
      <c r="AF81" s="317">
        <f>ROUND(SUM(AF74:AF79),1)</f>
        <v>2823.5</v>
      </c>
      <c r="AG81" s="2413"/>
      <c r="AH81" s="320"/>
      <c r="AI81" s="317">
        <f>ROUND(SUM(AI74:AI79),1)</f>
        <v>3150.5</v>
      </c>
      <c r="AJ81" s="320"/>
      <c r="AK81" s="2453"/>
      <c r="AL81" s="318">
        <f>ROUND(AF81-AI81,1)</f>
        <v>-327</v>
      </c>
      <c r="AM81" s="680"/>
      <c r="AN81" s="2230">
        <f>ROUND(IF(AI81=0,0,AL81/(AI81)),3)</f>
        <v>-0.104</v>
      </c>
      <c r="AO81" s="667"/>
      <c r="AP81" s="667"/>
      <c r="AQ81" s="667"/>
    </row>
    <row r="82" spans="1:43" ht="15.75">
      <c r="A82" s="227"/>
      <c r="B82" s="227"/>
      <c r="C82" s="227"/>
      <c r="D82" s="227"/>
      <c r="E82" s="332"/>
      <c r="F82" s="323"/>
      <c r="G82" s="332"/>
      <c r="H82" s="323"/>
      <c r="I82" s="332"/>
      <c r="J82" s="323"/>
      <c r="K82" s="332"/>
      <c r="L82" s="265"/>
      <c r="M82" s="293"/>
      <c r="N82" s="265"/>
      <c r="O82" s="293"/>
      <c r="P82" s="265"/>
      <c r="Q82" s="293"/>
      <c r="R82" s="265"/>
      <c r="S82" s="293"/>
      <c r="T82" s="265"/>
      <c r="U82" s="293"/>
      <c r="V82" s="265"/>
      <c r="W82" s="293"/>
      <c r="X82" s="265"/>
      <c r="Y82" s="293"/>
      <c r="Z82" s="265"/>
      <c r="AA82" s="293"/>
      <c r="AB82" s="253"/>
      <c r="AC82" s="293"/>
      <c r="AD82" s="323"/>
      <c r="AE82" s="1328"/>
      <c r="AF82" s="332"/>
      <c r="AG82" s="2408"/>
      <c r="AH82" s="266"/>
      <c r="AI82" s="332"/>
      <c r="AJ82" s="266"/>
      <c r="AK82" s="2453"/>
      <c r="AL82" s="704"/>
      <c r="AM82" s="662"/>
      <c r="AN82" s="670"/>
    </row>
    <row r="83" spans="1:43" ht="15.75">
      <c r="A83" s="227"/>
      <c r="B83" s="225" t="s">
        <v>215</v>
      </c>
      <c r="C83" s="227"/>
      <c r="D83" s="227"/>
      <c r="E83" s="323"/>
      <c r="F83" s="323"/>
      <c r="G83" s="323"/>
      <c r="H83" s="323"/>
      <c r="I83" s="323"/>
      <c r="J83" s="323"/>
      <c r="K83" s="323"/>
      <c r="L83" s="265"/>
      <c r="M83" s="265"/>
      <c r="N83" s="265"/>
      <c r="O83" s="265"/>
      <c r="P83" s="265"/>
      <c r="Q83" s="265"/>
      <c r="R83" s="265"/>
      <c r="S83" s="265"/>
      <c r="T83" s="265"/>
      <c r="U83" s="377"/>
      <c r="V83" s="265"/>
      <c r="W83" s="265"/>
      <c r="X83" s="265"/>
      <c r="Y83" s="265"/>
      <c r="Z83" s="265"/>
      <c r="AA83" s="265"/>
      <c r="AB83" s="265"/>
      <c r="AC83" s="265"/>
      <c r="AD83" s="323"/>
      <c r="AE83" s="1328"/>
      <c r="AF83" s="704"/>
      <c r="AG83" s="2408"/>
      <c r="AH83" s="266"/>
      <c r="AI83" s="704"/>
      <c r="AJ83" s="704"/>
      <c r="AK83" s="2465"/>
      <c r="AL83" s="704"/>
      <c r="AM83" s="662"/>
      <c r="AN83" s="670"/>
    </row>
    <row r="84" spans="1:43" ht="15.75">
      <c r="A84" s="227"/>
      <c r="B84" s="225" t="s">
        <v>216</v>
      </c>
      <c r="C84" s="227"/>
      <c r="D84" s="227"/>
      <c r="E84" s="317">
        <f>ROUND(SUM(E60-E81),1)</f>
        <v>59.8</v>
      </c>
      <c r="F84" s="317"/>
      <c r="G84" s="317">
        <f>ROUND(SUM(G60-G81),1)</f>
        <v>-40.700000000000003</v>
      </c>
      <c r="H84" s="317"/>
      <c r="I84" s="317">
        <f>ROUND(SUM(I60-I81),1)</f>
        <v>-124.5</v>
      </c>
      <c r="J84" s="317"/>
      <c r="K84" s="317">
        <f>ROUND(SUM(K60-K81),1)</f>
        <v>302.8</v>
      </c>
      <c r="L84" s="261"/>
      <c r="M84" s="261">
        <f>ROUND(SUM(M60-M81),1)</f>
        <v>-189.8</v>
      </c>
      <c r="N84" s="261"/>
      <c r="O84" s="261">
        <f>ROUND(SUM(O60-O81),1)</f>
        <v>-193.5</v>
      </c>
      <c r="P84" s="261"/>
      <c r="Q84" s="261">
        <f>ROUND(SUM(Q60-Q81),1)</f>
        <v>-207.7</v>
      </c>
      <c r="R84" s="261"/>
      <c r="S84" s="261">
        <f>ROUND(SUM(S60-S81),1)</f>
        <v>0</v>
      </c>
      <c r="T84" s="261"/>
      <c r="U84" s="261">
        <f>ROUND(SUM(U60-U81),1)</f>
        <v>0</v>
      </c>
      <c r="V84" s="261"/>
      <c r="W84" s="261">
        <f>ROUND(SUM(W60-W81),1)</f>
        <v>0</v>
      </c>
      <c r="X84" s="261"/>
      <c r="Y84" s="261">
        <f>ROUND(SUM(Y60-Y81),1)</f>
        <v>0</v>
      </c>
      <c r="Z84" s="261"/>
      <c r="AA84" s="261">
        <f>ROUND(SUM(AA60-AA81),1)</f>
        <v>0</v>
      </c>
      <c r="AB84" s="2154"/>
      <c r="AC84" s="2154">
        <f>ROUND(SUM(AC60-AC81),1)</f>
        <v>0</v>
      </c>
      <c r="AD84" s="317"/>
      <c r="AE84" s="1329"/>
      <c r="AF84" s="317">
        <f>ROUND(SUM(AF60-AF81),1)</f>
        <v>-393.6</v>
      </c>
      <c r="AG84" s="2413"/>
      <c r="AH84" s="320"/>
      <c r="AI84" s="317">
        <f>ROUND(SUM(AI60-AI81),1)</f>
        <v>-172.4</v>
      </c>
      <c r="AJ84" s="320"/>
      <c r="AK84" s="2453"/>
      <c r="AL84" s="318">
        <f>ROUND(AF84-AI84,1)</f>
        <v>-221.2</v>
      </c>
      <c r="AM84" s="680"/>
      <c r="AN84" s="2230">
        <f>-ROUND(IF(AI84=0,0,AL84/(AI84)),3)</f>
        <v>-1.2829999999999999</v>
      </c>
      <c r="AO84" s="667"/>
      <c r="AP84" s="677"/>
    </row>
    <row r="85" spans="1:43" ht="15.75">
      <c r="A85" s="227"/>
      <c r="B85" s="227"/>
      <c r="C85" s="227"/>
      <c r="D85" s="227"/>
      <c r="E85" s="332"/>
      <c r="F85" s="323"/>
      <c r="G85" s="332"/>
      <c r="H85" s="323"/>
      <c r="I85" s="332"/>
      <c r="J85" s="323"/>
      <c r="K85" s="332"/>
      <c r="L85" s="265"/>
      <c r="M85" s="293"/>
      <c r="N85" s="265"/>
      <c r="O85" s="293"/>
      <c r="P85" s="265"/>
      <c r="Q85" s="293"/>
      <c r="R85" s="265"/>
      <c r="S85" s="293"/>
      <c r="T85" s="265"/>
      <c r="U85" s="293"/>
      <c r="V85" s="265"/>
      <c r="W85" s="293"/>
      <c r="X85" s="265"/>
      <c r="Y85" s="293"/>
      <c r="Z85" s="265"/>
      <c r="AA85" s="293"/>
      <c r="AB85" s="253"/>
      <c r="AC85" s="293"/>
      <c r="AD85" s="323"/>
      <c r="AE85" s="1328"/>
      <c r="AF85" s="332"/>
      <c r="AG85" s="2408"/>
      <c r="AH85" s="266"/>
      <c r="AI85" s="332"/>
      <c r="AJ85" s="266"/>
      <c r="AK85" s="2453"/>
      <c r="AL85" s="704"/>
      <c r="AM85" s="662"/>
      <c r="AN85" s="670"/>
    </row>
    <row r="86" spans="1:43" ht="15.75">
      <c r="A86" s="227"/>
      <c r="B86" s="225" t="s">
        <v>217</v>
      </c>
      <c r="C86" s="227"/>
      <c r="D86" s="227"/>
      <c r="E86" s="323"/>
      <c r="F86" s="323"/>
      <c r="G86" s="323"/>
      <c r="H86" s="323"/>
      <c r="I86" s="323"/>
      <c r="J86" s="323"/>
      <c r="K86" s="323"/>
      <c r="L86" s="265"/>
      <c r="M86" s="265"/>
      <c r="N86" s="265"/>
      <c r="O86" s="265"/>
      <c r="P86" s="265"/>
      <c r="Q86" s="265"/>
      <c r="R86" s="265"/>
      <c r="S86" s="265"/>
      <c r="T86" s="265"/>
      <c r="U86" s="265"/>
      <c r="V86" s="265"/>
      <c r="W86" s="265"/>
      <c r="X86" s="265"/>
      <c r="Y86" s="265"/>
      <c r="Z86" s="265"/>
      <c r="AA86" s="265"/>
      <c r="AB86" s="265"/>
      <c r="AC86" s="265"/>
      <c r="AD86" s="323"/>
      <c r="AE86" s="1328"/>
      <c r="AF86" s="323"/>
      <c r="AG86" s="2408"/>
      <c r="AH86" s="266"/>
      <c r="AI86" s="333"/>
      <c r="AJ86" s="333"/>
      <c r="AK86" s="2461"/>
      <c r="AL86" s="704"/>
      <c r="AM86" s="662"/>
      <c r="AN86" s="670"/>
    </row>
    <row r="87" spans="1:43" ht="15.75">
      <c r="A87" s="227"/>
      <c r="B87" s="227" t="s">
        <v>218</v>
      </c>
      <c r="C87" s="227"/>
      <c r="D87" s="227"/>
      <c r="E87" s="703">
        <v>0</v>
      </c>
      <c r="F87" s="323"/>
      <c r="G87" s="703">
        <v>0</v>
      </c>
      <c r="H87" s="323"/>
      <c r="I87" s="703">
        <v>0</v>
      </c>
      <c r="J87" s="323"/>
      <c r="K87" s="703">
        <v>0</v>
      </c>
      <c r="L87" s="265"/>
      <c r="M87" s="377">
        <v>0</v>
      </c>
      <c r="N87" s="377"/>
      <c r="O87" s="377">
        <v>0</v>
      </c>
      <c r="P87" s="265"/>
      <c r="Q87" s="377">
        <v>0</v>
      </c>
      <c r="R87" s="265"/>
      <c r="S87" s="377"/>
      <c r="T87" s="265"/>
      <c r="U87" s="377"/>
      <c r="V87" s="265"/>
      <c r="W87" s="377"/>
      <c r="X87" s="265"/>
      <c r="Y87" s="377"/>
      <c r="Z87" s="265"/>
      <c r="AA87" s="521"/>
      <c r="AB87" s="521"/>
      <c r="AC87" s="521">
        <v>0</v>
      </c>
      <c r="AD87" s="323"/>
      <c r="AE87" s="1328"/>
      <c r="AF87" s="324">
        <f>ROUND(SUM(E87:AC87),1)</f>
        <v>0</v>
      </c>
      <c r="AG87" s="2408"/>
      <c r="AH87" s="266"/>
      <c r="AI87" s="333">
        <v>0</v>
      </c>
      <c r="AJ87" s="333"/>
      <c r="AK87" s="2461"/>
      <c r="AL87" s="324">
        <f>ROUND(AF87-AI87,1)</f>
        <v>0</v>
      </c>
      <c r="AM87" s="672"/>
      <c r="AN87" s="45">
        <f>ROUND(IF(AI87=0,0,AL87/(AI87)),3)</f>
        <v>0</v>
      </c>
    </row>
    <row r="88" spans="1:43" ht="15.75">
      <c r="A88" s="227"/>
      <c r="B88" s="251" t="s">
        <v>182</v>
      </c>
      <c r="C88" s="227"/>
      <c r="D88" s="227"/>
      <c r="E88" s="2406">
        <v>35.4</v>
      </c>
      <c r="F88" s="323"/>
      <c r="G88" s="2406">
        <v>171.9</v>
      </c>
      <c r="H88" s="323"/>
      <c r="I88" s="2406">
        <v>131.30000000000001</v>
      </c>
      <c r="J88" s="323"/>
      <c r="K88" s="2406">
        <v>-286.60000000000002</v>
      </c>
      <c r="L88" s="265"/>
      <c r="M88" s="522">
        <v>148.69999999999999</v>
      </c>
      <c r="N88" s="265"/>
      <c r="O88" s="522">
        <v>198.9</v>
      </c>
      <c r="P88" s="265"/>
      <c r="Q88" s="522">
        <v>177.3</v>
      </c>
      <c r="R88" s="265"/>
      <c r="S88" s="522"/>
      <c r="T88" s="265"/>
      <c r="U88" s="522"/>
      <c r="V88" s="265"/>
      <c r="W88" s="522"/>
      <c r="X88" s="265"/>
      <c r="Y88" s="377"/>
      <c r="Z88" s="265"/>
      <c r="AA88" s="522"/>
      <c r="AB88" s="522"/>
      <c r="AC88" s="522">
        <v>-103.2</v>
      </c>
      <c r="AD88" s="323"/>
      <c r="AE88" s="1328"/>
      <c r="AF88" s="324">
        <f>ROUND(SUM(E88:AC88),1)</f>
        <v>473.7</v>
      </c>
      <c r="AG88" s="2408"/>
      <c r="AH88" s="266"/>
      <c r="AI88" s="323">
        <v>537.9</v>
      </c>
      <c r="AJ88" s="324"/>
      <c r="AK88" s="2409"/>
      <c r="AL88" s="324">
        <f>ROUND(AF88-AI88,1)</f>
        <v>-64.2</v>
      </c>
      <c r="AM88" s="662"/>
      <c r="AN88" s="45">
        <f>ROUND(IF(AI88=0,0,AL88/(AI88)),3)</f>
        <v>-0.11899999999999999</v>
      </c>
      <c r="AO88" s="662"/>
    </row>
    <row r="89" spans="1:43" ht="15.75">
      <c r="A89" s="227"/>
      <c r="B89" s="251" t="s">
        <v>219</v>
      </c>
      <c r="C89" s="227"/>
      <c r="D89" s="227"/>
      <c r="E89" s="2406">
        <v>-78.2</v>
      </c>
      <c r="F89" s="323"/>
      <c r="G89" s="323">
        <v>-78.599999999999994</v>
      </c>
      <c r="H89" s="323"/>
      <c r="I89" s="2406">
        <v>-80.3</v>
      </c>
      <c r="J89" s="323"/>
      <c r="K89" s="2406">
        <v>-81.599999999999994</v>
      </c>
      <c r="L89" s="265"/>
      <c r="M89" s="522">
        <v>-154</v>
      </c>
      <c r="N89" s="265"/>
      <c r="O89" s="522">
        <v>-180</v>
      </c>
      <c r="P89" s="265"/>
      <c r="Q89" s="522">
        <v>-81.3</v>
      </c>
      <c r="R89" s="265"/>
      <c r="S89" s="522"/>
      <c r="T89" s="265"/>
      <c r="U89" s="522"/>
      <c r="V89" s="265"/>
      <c r="W89" s="522"/>
      <c r="X89" s="265"/>
      <c r="Y89" s="377"/>
      <c r="Z89" s="265"/>
      <c r="AA89" s="522"/>
      <c r="AB89" s="522"/>
      <c r="AC89" s="1245">
        <v>0</v>
      </c>
      <c r="AD89" s="323"/>
      <c r="AE89" s="1328"/>
      <c r="AF89" s="324">
        <f>ROUND(SUM(E89:AC89),1)</f>
        <v>-734</v>
      </c>
      <c r="AG89" s="2408"/>
      <c r="AH89" s="266"/>
      <c r="AI89" s="2921">
        <v>-783.8</v>
      </c>
      <c r="AJ89" s="266"/>
      <c r="AK89" s="2453"/>
      <c r="AL89" s="2464">
        <f>ROUND(AF89-AI89,1)</f>
        <v>49.8</v>
      </c>
      <c r="AM89" s="662"/>
      <c r="AN89" s="2004">
        <f>-ROUND(IF(AI89=0,0,AL89/(AI89)),3)</f>
        <v>6.4000000000000001E-2</v>
      </c>
      <c r="AO89" s="662"/>
    </row>
    <row r="90" spans="1:43" ht="15.75">
      <c r="A90" s="227"/>
      <c r="B90" s="227"/>
      <c r="C90" s="227"/>
      <c r="D90" s="227"/>
      <c r="E90" s="332"/>
      <c r="F90" s="323"/>
      <c r="G90" s="332"/>
      <c r="H90" s="323"/>
      <c r="I90" s="332"/>
      <c r="J90" s="323"/>
      <c r="K90" s="332"/>
      <c r="L90" s="265"/>
      <c r="M90" s="293"/>
      <c r="N90" s="265"/>
      <c r="O90" s="293"/>
      <c r="P90" s="265"/>
      <c r="Q90" s="293"/>
      <c r="R90" s="265"/>
      <c r="S90" s="293"/>
      <c r="T90" s="265"/>
      <c r="U90" s="293"/>
      <c r="V90" s="265"/>
      <c r="W90" s="293"/>
      <c r="X90" s="265"/>
      <c r="Y90" s="293"/>
      <c r="Z90" s="265"/>
      <c r="AA90" s="293"/>
      <c r="AB90" s="253"/>
      <c r="AC90" s="293"/>
      <c r="AD90" s="323"/>
      <c r="AE90" s="1328"/>
      <c r="AF90" s="332"/>
      <c r="AG90" s="2408"/>
      <c r="AH90" s="266"/>
      <c r="AI90" s="704"/>
      <c r="AJ90" s="704"/>
      <c r="AK90" s="2465"/>
      <c r="AL90" s="704"/>
      <c r="AM90" s="662"/>
      <c r="AN90" s="670"/>
    </row>
    <row r="91" spans="1:43" ht="15.75">
      <c r="A91" s="227"/>
      <c r="B91" s="225" t="s">
        <v>1696</v>
      </c>
      <c r="C91" s="227"/>
      <c r="D91" s="227"/>
      <c r="E91" s="317">
        <f>ROUND(SUM(E87:E89),1)</f>
        <v>-42.8</v>
      </c>
      <c r="F91" s="317"/>
      <c r="G91" s="317">
        <f>ROUND(SUM(G87:G89),1)</f>
        <v>93.3</v>
      </c>
      <c r="H91" s="317"/>
      <c r="I91" s="317">
        <f>ROUND(SUM(I87:I89),1)</f>
        <v>51</v>
      </c>
      <c r="J91" s="317"/>
      <c r="K91" s="317">
        <f>ROUND(SUM(K87:K89),1)</f>
        <v>-368.2</v>
      </c>
      <c r="L91" s="261"/>
      <c r="M91" s="261">
        <f>ROUND(SUM(M87:M89),1)</f>
        <v>-5.3</v>
      </c>
      <c r="N91" s="261"/>
      <c r="O91" s="261">
        <f>ROUND(SUM(O87:O89),1)</f>
        <v>18.899999999999999</v>
      </c>
      <c r="P91" s="261"/>
      <c r="Q91" s="261">
        <f>ROUND(SUM(Q87:Q89),1)</f>
        <v>96</v>
      </c>
      <c r="R91" s="261"/>
      <c r="S91" s="261">
        <f>ROUND(SUM(S87:S89),1)</f>
        <v>0</v>
      </c>
      <c r="T91" s="261"/>
      <c r="U91" s="261">
        <f>ROUND(SUM(U87:U89),1)</f>
        <v>0</v>
      </c>
      <c r="V91" s="261"/>
      <c r="W91" s="261">
        <f>ROUND(SUM(W87:W89),1)</f>
        <v>0</v>
      </c>
      <c r="X91" s="261"/>
      <c r="Y91" s="261">
        <f>ROUND(SUM(Y87:Y89),1)</f>
        <v>0</v>
      </c>
      <c r="Z91" s="261"/>
      <c r="AA91" s="261">
        <f>ROUND(SUM(AA87:AA89),1)</f>
        <v>0</v>
      </c>
      <c r="AB91" s="2154"/>
      <c r="AC91" s="2154">
        <f>ROUND(SUM(AC87:AC89),1)</f>
        <v>-103.2</v>
      </c>
      <c r="AD91" s="317"/>
      <c r="AE91" s="1329"/>
      <c r="AF91" s="317">
        <f>ROUND(SUM(AF87:AF89),1)</f>
        <v>-260.3</v>
      </c>
      <c r="AG91" s="2413"/>
      <c r="AH91" s="320"/>
      <c r="AI91" s="320">
        <f>ROUND(SUM(AI87:AI89),1)</f>
        <v>-245.9</v>
      </c>
      <c r="AJ91" s="320"/>
      <c r="AK91" s="2453"/>
      <c r="AL91" s="318">
        <f>ROUND(AF91-AI91,1)</f>
        <v>-14.4</v>
      </c>
      <c r="AM91" s="680"/>
      <c r="AN91" s="3288">
        <f>ROUND(IF(AI91=0,0,AL91/ABS(AI91)),3)</f>
        <v>-5.8999999999999997E-2</v>
      </c>
      <c r="AO91" s="667"/>
      <c r="AP91" s="667"/>
      <c r="AQ91" s="677"/>
    </row>
    <row r="92" spans="1:43" ht="15.75">
      <c r="A92" s="227"/>
      <c r="B92" s="227"/>
      <c r="C92" s="227"/>
      <c r="D92" s="227"/>
      <c r="E92" s="332"/>
      <c r="F92" s="323"/>
      <c r="G92" s="332"/>
      <c r="H92" s="323"/>
      <c r="I92" s="332"/>
      <c r="J92" s="323"/>
      <c r="K92" s="332"/>
      <c r="L92" s="265"/>
      <c r="M92" s="293"/>
      <c r="N92" s="265"/>
      <c r="O92" s="293"/>
      <c r="P92" s="265"/>
      <c r="Q92" s="293"/>
      <c r="R92" s="265"/>
      <c r="S92" s="293"/>
      <c r="T92" s="265"/>
      <c r="U92" s="293"/>
      <c r="V92" s="265"/>
      <c r="W92" s="293"/>
      <c r="X92" s="265"/>
      <c r="Y92" s="293"/>
      <c r="Z92" s="265"/>
      <c r="AA92" s="293"/>
      <c r="AB92" s="253"/>
      <c r="AC92" s="293"/>
      <c r="AD92" s="323"/>
      <c r="AE92" s="1328"/>
      <c r="AF92" s="332"/>
      <c r="AG92" s="2408"/>
      <c r="AH92" s="266"/>
      <c r="AI92" s="332"/>
      <c r="AJ92" s="266"/>
      <c r="AK92" s="2453"/>
      <c r="AL92" s="704"/>
      <c r="AM92" s="662"/>
      <c r="AN92" s="670"/>
      <c r="AQ92" s="374"/>
    </row>
    <row r="93" spans="1:43" ht="15.75">
      <c r="A93" s="227"/>
      <c r="B93" s="227"/>
      <c r="C93" s="227"/>
      <c r="D93" s="227"/>
      <c r="E93" s="323" t="s">
        <v>16</v>
      </c>
      <c r="F93" s="323" t="s">
        <v>16</v>
      </c>
      <c r="G93" s="323" t="s">
        <v>16</v>
      </c>
      <c r="H93" s="323"/>
      <c r="I93" s="323" t="s">
        <v>16</v>
      </c>
      <c r="J93" s="323"/>
      <c r="K93" s="323" t="s">
        <v>16</v>
      </c>
      <c r="L93" s="265"/>
      <c r="M93" s="265" t="s">
        <v>16</v>
      </c>
      <c r="N93" s="265"/>
      <c r="O93" s="265" t="s">
        <v>16</v>
      </c>
      <c r="P93" s="265"/>
      <c r="Q93" s="265" t="s">
        <v>16</v>
      </c>
      <c r="R93" s="265"/>
      <c r="S93" s="265" t="s">
        <v>16</v>
      </c>
      <c r="T93" s="265"/>
      <c r="U93" s="265" t="s">
        <v>16</v>
      </c>
      <c r="V93" s="265"/>
      <c r="W93" s="265" t="s">
        <v>16</v>
      </c>
      <c r="X93" s="265"/>
      <c r="Y93" s="265" t="s">
        <v>16</v>
      </c>
      <c r="Z93" s="265"/>
      <c r="AA93" s="265" t="s">
        <v>16</v>
      </c>
      <c r="AB93" s="265"/>
      <c r="AC93" s="265" t="s">
        <v>16</v>
      </c>
      <c r="AD93" s="323"/>
      <c r="AE93" s="1328"/>
      <c r="AF93" s="323" t="s">
        <v>16</v>
      </c>
      <c r="AG93" s="2408"/>
      <c r="AH93" s="266"/>
      <c r="AI93" s="323"/>
      <c r="AJ93" s="323"/>
      <c r="AK93" s="2453"/>
      <c r="AL93" s="704" t="s">
        <v>16</v>
      </c>
      <c r="AM93" s="662"/>
      <c r="AN93" s="670"/>
    </row>
    <row r="94" spans="1:43" ht="15.75">
      <c r="A94" s="227"/>
      <c r="B94" s="225" t="s">
        <v>221</v>
      </c>
      <c r="C94" s="227"/>
      <c r="D94" s="227"/>
      <c r="E94" s="323"/>
      <c r="F94" s="323"/>
      <c r="G94" s="323" t="s">
        <v>16</v>
      </c>
      <c r="H94" s="323"/>
      <c r="I94" s="323" t="s">
        <v>16</v>
      </c>
      <c r="J94" s="323"/>
      <c r="K94" s="323" t="s">
        <v>16</v>
      </c>
      <c r="L94" s="265"/>
      <c r="M94" s="265" t="s">
        <v>16</v>
      </c>
      <c r="N94" s="265"/>
      <c r="O94" s="265" t="s">
        <v>16</v>
      </c>
      <c r="P94" s="265"/>
      <c r="Q94" s="265" t="s">
        <v>16</v>
      </c>
      <c r="R94" s="265"/>
      <c r="S94" s="265" t="s">
        <v>16</v>
      </c>
      <c r="T94" s="265"/>
      <c r="U94" s="265" t="s">
        <v>16</v>
      </c>
      <c r="V94" s="265"/>
      <c r="W94" s="265" t="s">
        <v>16</v>
      </c>
      <c r="X94" s="265"/>
      <c r="Y94" s="265" t="s">
        <v>16</v>
      </c>
      <c r="Z94" s="265"/>
      <c r="AA94" s="265" t="s">
        <v>16</v>
      </c>
      <c r="AB94" s="265"/>
      <c r="AC94" s="265" t="s">
        <v>16</v>
      </c>
      <c r="AD94" s="323"/>
      <c r="AE94" s="1328"/>
      <c r="AF94" s="323"/>
      <c r="AG94" s="2408"/>
      <c r="AH94" s="266"/>
      <c r="AI94" s="323"/>
      <c r="AJ94" s="323"/>
      <c r="AK94" s="2453"/>
      <c r="AL94" s="704"/>
      <c r="AM94" s="662"/>
      <c r="AN94" s="670"/>
    </row>
    <row r="95" spans="1:43" ht="15.75">
      <c r="A95" s="227"/>
      <c r="B95" s="225" t="s">
        <v>222</v>
      </c>
      <c r="C95" s="227"/>
      <c r="D95" s="227"/>
      <c r="E95" s="323" t="s">
        <v>16</v>
      </c>
      <c r="F95" s="323"/>
      <c r="G95" s="323"/>
      <c r="H95" s="323"/>
      <c r="I95" s="323"/>
      <c r="J95" s="323"/>
      <c r="K95" s="323"/>
      <c r="L95" s="265"/>
      <c r="M95" s="265"/>
      <c r="N95" s="265"/>
      <c r="O95" s="265"/>
      <c r="P95" s="265"/>
      <c r="Q95" s="265"/>
      <c r="R95" s="265"/>
      <c r="S95" s="265"/>
      <c r="T95" s="265"/>
      <c r="U95" s="265"/>
      <c r="V95" s="265"/>
      <c r="W95" s="265"/>
      <c r="X95" s="265"/>
      <c r="Y95" s="265"/>
      <c r="Z95" s="265"/>
      <c r="AA95" s="265"/>
      <c r="AB95" s="265"/>
      <c r="AC95" s="265"/>
      <c r="AD95" s="323"/>
      <c r="AE95" s="1328"/>
      <c r="AF95" s="2466" t="s">
        <v>16</v>
      </c>
      <c r="AG95" s="2408"/>
      <c r="AH95" s="266"/>
      <c r="AI95" s="704"/>
      <c r="AJ95" s="704"/>
      <c r="AK95" s="2465"/>
      <c r="AL95" s="704"/>
      <c r="AM95" s="662"/>
      <c r="AN95" s="670"/>
      <c r="AQ95" s="698"/>
    </row>
    <row r="96" spans="1:43" ht="16.5" thickBot="1">
      <c r="A96" s="227"/>
      <c r="B96" s="225" t="s">
        <v>1697</v>
      </c>
      <c r="C96" s="227"/>
      <c r="D96" s="227"/>
      <c r="E96" s="2437">
        <f>ROUND(SUM(E84+E91),1)</f>
        <v>17</v>
      </c>
      <c r="F96" s="2436"/>
      <c r="G96" s="2437">
        <f>ROUND(SUM(G84+G91),1)</f>
        <v>52.6</v>
      </c>
      <c r="H96" s="2436"/>
      <c r="I96" s="2437">
        <f>ROUND(SUM(I84+I91),1)</f>
        <v>-73.5</v>
      </c>
      <c r="J96" s="2436"/>
      <c r="K96" s="2437">
        <f>ROUND(SUM(K84+K91),1)</f>
        <v>-65.400000000000006</v>
      </c>
      <c r="L96" s="699"/>
      <c r="M96" s="2437">
        <f>ROUND(SUM(M84+M91),1)</f>
        <v>-195.1</v>
      </c>
      <c r="N96" s="699"/>
      <c r="O96" s="2437">
        <f>ROUND(SUM(O84+O91),1)</f>
        <v>-174.6</v>
      </c>
      <c r="P96" s="699"/>
      <c r="Q96" s="2437">
        <f>ROUND(SUM(Q84+Q91),1)</f>
        <v>-111.7</v>
      </c>
      <c r="R96" s="699"/>
      <c r="S96" s="2437">
        <f>ROUND(SUM(S84+S91),1)</f>
        <v>0</v>
      </c>
      <c r="T96" s="699"/>
      <c r="U96" s="2437">
        <f>ROUND(SUM(U84+U91),1)</f>
        <v>0</v>
      </c>
      <c r="V96" s="699"/>
      <c r="W96" s="2437">
        <f>ROUND(SUM(W84+W91),1)</f>
        <v>0</v>
      </c>
      <c r="X96" s="700"/>
      <c r="Y96" s="2437">
        <f>ROUND(SUM(Y84+Y91),1)</f>
        <v>0</v>
      </c>
      <c r="Z96" s="699"/>
      <c r="AA96" s="2437">
        <f>ROUND(SUM(AA84+AA91),1)</f>
        <v>0</v>
      </c>
      <c r="AB96" s="3078"/>
      <c r="AC96" s="2437">
        <f>ROUND(SUM(AC84+AC91),1)</f>
        <v>-103.2</v>
      </c>
      <c r="AD96" s="2436"/>
      <c r="AE96" s="2467"/>
      <c r="AF96" s="2437">
        <f>ROUND(SUM(AF84+AF91),1)</f>
        <v>-653.9</v>
      </c>
      <c r="AG96" s="2468"/>
      <c r="AH96" s="345"/>
      <c r="AI96" s="2437">
        <f>ROUND(SUM(AI84+AI91),1)</f>
        <v>-418.3</v>
      </c>
      <c r="AJ96" s="2469"/>
      <c r="AK96" s="2470"/>
      <c r="AL96" s="2437">
        <f>ROUND(SUM(AL84+AL91),1)</f>
        <v>-235.6</v>
      </c>
      <c r="AM96" s="680"/>
      <c r="AN96" s="130">
        <f>-ROUND(IF(AI96=0,0,AL96/(AI96)),3)</f>
        <v>-0.56299999999999994</v>
      </c>
      <c r="AO96" s="667"/>
    </row>
    <row r="97" spans="2:38" ht="15.75" thickTop="1">
      <c r="B97" s="430"/>
      <c r="X97" s="701"/>
    </row>
    <row r="98" spans="2:38">
      <c r="B98" s="691"/>
      <c r="C98" s="692"/>
      <c r="D98" s="692"/>
      <c r="E98" s="2438"/>
      <c r="F98" s="2438"/>
      <c r="G98" s="2438"/>
    </row>
    <row r="99" spans="2:38">
      <c r="B99" s="3317" t="s">
        <v>1673</v>
      </c>
      <c r="C99" s="692"/>
      <c r="D99" s="692"/>
      <c r="E99" s="2438"/>
      <c r="F99" s="2438"/>
      <c r="G99" s="2438"/>
      <c r="AI99" s="2520"/>
      <c r="AL99" s="2452"/>
    </row>
    <row r="100" spans="2:38">
      <c r="B100" s="695"/>
    </row>
    <row r="101" spans="2:38">
      <c r="B101" s="695"/>
    </row>
    <row r="102" spans="2:38">
      <c r="B102" s="691"/>
    </row>
    <row r="103" spans="2:38">
      <c r="B103" s="695"/>
    </row>
    <row r="104" spans="2:38">
      <c r="B104" s="695"/>
    </row>
    <row r="105" spans="2:38">
      <c r="B105" s="691"/>
    </row>
  </sheetData>
  <customSheetViews>
    <customSheetView guid="{BD09DBC2-63A5-4D9C-9B00-4281066E9389}" scale="60" showPageBreaks="1" showGridLines="0" printArea="1" topLeftCell="B10">
      <selection activeCell="M54" sqref="M54"/>
      <rowBreaks count="1" manualBreakCount="1">
        <brk id="80" max="16383" man="1"/>
      </rowBreaks>
      <pageMargins left="0.5" right="0.2" top="0.75" bottom="0.5" header="0" footer="0.25"/>
      <pageSetup scale="40" firstPageNumber="31" orientation="landscape" useFirstPageNumber="1" r:id="rId1"/>
      <headerFooter scaleWithDoc="0" alignWithMargins="0">
        <oddFooter>&amp;C&amp;8&amp;P</oddFooter>
      </headerFooter>
    </customSheetView>
    <customSheetView guid="{C82E0A7D-2B5B-48FC-A705-3168E651E04C}" scale="70" showPageBreaks="1" showGridLines="0" printArea="1">
      <selection activeCell="AN19" sqref="AN19"/>
      <rowBreaks count="1" manualBreakCount="1">
        <brk id="61" min="1" max="37" man="1"/>
      </rowBreaks>
      <pageMargins left="0.5" right="0.2" top="0.75" bottom="0.5" header="0" footer="0.25"/>
      <pageSetup scale="42" firstPageNumber="31" fitToHeight="2" orientation="landscape" useFirstPageNumber="1" r:id="rId2"/>
      <headerFooter scaleWithDoc="0" alignWithMargins="0">
        <oddFooter>&amp;C&amp;8&amp;P</oddFooter>
      </headerFooter>
    </customSheetView>
    <customSheetView guid="{A8B05C3B-0E7E-44A3-A097-AF4C5C09F04E}" scale="70" showPageBreaks="1" showGridLines="0" printArea="1" topLeftCell="J4">
      <selection activeCell="AN19" sqref="AN19"/>
      <rowBreaks count="1" manualBreakCount="1">
        <brk id="61" min="1" max="37" man="1"/>
      </rowBreaks>
      <pageMargins left="0.5" right="0.2" top="0.75" bottom="0.5" header="0" footer="0.25"/>
      <pageSetup scale="42" firstPageNumber="31" fitToHeight="2" orientation="landscape" useFirstPageNumber="1" r:id="rId3"/>
      <headerFooter scaleWithDoc="0" alignWithMargins="0">
        <oddFooter>&amp;C&amp;8&amp;P</oddFooter>
      </headerFooter>
    </customSheetView>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4"/>
      <headerFooter scaleWithDoc="0" alignWithMargins="0">
        <oddFooter>&amp;C&amp;8&amp;P</oddFooter>
      </headerFooter>
    </customSheetView>
    <customSheetView guid="{4735AAE3-27B4-4549-AAB4-50ACA997F5F5}" scale="70" showPageBreaks="1" showGridLines="0" printArea="1" topLeftCell="J34">
      <selection activeCell="AN53" sqref="AN53"/>
      <rowBreaks count="1" manualBreakCount="1">
        <brk id="61" min="1" max="37" man="1"/>
      </rowBreaks>
      <pageMargins left="0.4" right="0.2" top="0.75" bottom="0.5" header="0" footer="0.25"/>
      <pageSetup scale="42" firstPageNumber="31" fitToHeight="2" orientation="landscape" useFirstPageNumber="1" r:id="rId5"/>
      <headerFooter scaleWithDoc="0" alignWithMargins="0">
        <oddFooter>&amp;C&amp;8&amp;P</oddFooter>
      </headerFooter>
    </customSheetView>
    <customSheetView guid="{80622567-647A-4891-B8EE-6B9E2C4DAC44}" scale="85" showPageBreaks="1" showGridLines="0" printArea="1" topLeftCell="J70">
      <selection activeCell="O21" sqref="O21"/>
      <rowBreaks count="1" manualBreakCount="1">
        <brk id="61" min="1" max="37" man="1"/>
      </rowBreaks>
      <pageMargins left="0.5" right="0.2" top="0.75" bottom="0.5" header="0" footer="0.25"/>
      <pageSetup scale="41" firstPageNumber="31" fitToHeight="2" orientation="landscape" useFirstPageNumber="1" r:id="rId6"/>
      <headerFooter scaleWithDoc="0" alignWithMargins="0">
        <oddFooter>&amp;C&amp;8&amp;P</oddFooter>
      </headerFooter>
    </customSheetView>
    <customSheetView guid="{A97EE6C3-4DA8-41BD-BE43-F596EFCB43CA}" scale="70" showPageBreaks="1" showGridLines="0" printArea="1" topLeftCell="A76">
      <selection activeCell="O115" sqref="O115"/>
      <rowBreaks count="1" manualBreakCount="1">
        <brk id="61" min="1" max="37" man="1"/>
      </rowBreaks>
      <pageMargins left="0.5" right="0.2" top="0.75" bottom="0.5" header="0" footer="0.25"/>
      <pageSetup scale="42" firstPageNumber="31" fitToHeight="2" orientation="landscape" useFirstPageNumber="1" r:id="rId7"/>
      <headerFooter scaleWithDoc="0" alignWithMargins="0">
        <oddFooter>&amp;C&amp;8&amp;P</oddFooter>
      </headerFooter>
    </customSheetView>
    <customSheetView guid="{90B76C5A-2FC4-40F0-8436-3E4F075A4887}" scale="70" showPageBreaks="1" showGridLines="0" printArea="1" topLeftCell="H58">
      <selection activeCell="Q27" sqref="Q27"/>
      <rowBreaks count="1" manualBreakCount="1">
        <brk id="61" max="39" man="1"/>
      </rowBreaks>
      <pageMargins left="0.5" right="0.2" top="0.75" bottom="0.5" header="0" footer="0.25"/>
      <pageSetup scale="41" firstPageNumber="31" fitToHeight="2" orientation="landscape" useFirstPageNumber="1" r:id="rId8"/>
      <headerFooter scaleWithDoc="0" alignWithMargins="0">
        <oddFooter>&amp;C&amp;8&amp;P</oddFooter>
      </headerFooter>
    </customSheetView>
  </customSheetViews>
  <mergeCells count="1">
    <mergeCell ref="AF10:AN10"/>
  </mergeCells>
  <pageMargins left="0.5" right="0.2" top="0.75" bottom="0.5" header="0" footer="0.25"/>
  <pageSetup scale="40" firstPageNumber="31" orientation="landscape" useFirstPageNumber="1" r:id="rId9"/>
  <headerFooter scaleWithDoc="0" alignWithMargins="0">
    <oddFooter>&amp;C&amp;8&amp;P</oddFooter>
  </headerFooter>
  <rowBreaks count="1" manualBreakCount="1">
    <brk id="61" min="1" max="39" man="1"/>
  </rowBreaks>
  <ignoredErrors>
    <ignoredError sqref="AN19 AN54:AN55 AN53 AN41 AN40 AN39 AN32 AN30 AN27 AN28:AN29 AN31 AN33:AN35 AN37:AN38 AN25:AN26 AN20:AN21 AN24 AN58 AN76:AN78 AN22:AN23 AN79:AN89 AN59:AN75 AN56:AN57 AN90 AN92:AN96" unlockedFormula="1"/>
    <ignoredError sqref="AN43 AN44:AN46 AN47:AN51" formula="1" unlockedFormula="1"/>
    <ignoredError sqref="AN42 AN52" formula="1"/>
  </ignoredErrors>
</worksheet>
</file>

<file path=xl/worksheets/sheet25.xml><?xml version="1.0" encoding="utf-8"?>
<worksheet xmlns="http://schemas.openxmlformats.org/spreadsheetml/2006/main" xmlns:r="http://schemas.openxmlformats.org/officeDocument/2006/relationships">
  <sheetPr codeName="Sheet23"/>
  <dimension ref="A1:AQ79"/>
  <sheetViews>
    <sheetView showGridLines="0" zoomScale="70" zoomScaleNormal="70" zoomScaleSheetLayoutView="70" workbookViewId="0"/>
  </sheetViews>
  <sheetFormatPr defaultRowHeight="15"/>
  <cols>
    <col min="1" max="1" width="2.5546875" style="306" customWidth="1"/>
    <col min="2" max="2" width="14.33203125" style="306" customWidth="1"/>
    <col min="3" max="3" width="32" style="306" customWidth="1"/>
    <col min="4" max="4" width="4.5546875" style="2424" customWidth="1"/>
    <col min="5" max="5" width="9.77734375" style="2424" bestFit="1" customWidth="1"/>
    <col min="6" max="6" width="1.77734375" style="2424" customWidth="1"/>
    <col min="7" max="7" width="11" style="2424" bestFit="1" customWidth="1"/>
    <col min="8" max="8" width="1.77734375" style="2424" customWidth="1"/>
    <col min="9" max="9" width="11" style="2424" bestFit="1" customWidth="1"/>
    <col min="10" max="10" width="1.77734375" style="2424" customWidth="1"/>
    <col min="11" max="11" width="12.21875" style="2424" customWidth="1"/>
    <col min="12" max="12" width="1.77734375" style="306" customWidth="1"/>
    <col min="13" max="13" width="8.88671875" style="306"/>
    <col min="14" max="14" width="1.77734375" style="306" customWidth="1"/>
    <col min="15" max="15" width="13.88671875" style="306" customWidth="1"/>
    <col min="16" max="16" width="1.77734375" style="306" customWidth="1"/>
    <col min="17" max="17" width="12.44140625" style="306" customWidth="1"/>
    <col min="18" max="18" width="1.77734375" style="306" customWidth="1"/>
    <col min="19" max="19" width="12.5546875" style="306" customWidth="1"/>
    <col min="20" max="20" width="1.77734375" style="306" customWidth="1"/>
    <col min="21" max="21" width="10.77734375" style="306" customWidth="1"/>
    <col min="22" max="22" width="1.77734375" style="306" customWidth="1"/>
    <col min="23" max="23" width="10.5546875" style="306" customWidth="1"/>
    <col min="24" max="24" width="1.77734375" style="306" customWidth="1"/>
    <col min="25" max="25" width="10.77734375" style="306" customWidth="1"/>
    <col min="26" max="26" width="1.77734375" style="306" customWidth="1"/>
    <col min="27" max="27" width="11.88671875" style="2424" customWidth="1"/>
    <col min="28" max="28" width="2.109375" style="2424" customWidth="1"/>
    <col min="29" max="29" width="15.5546875" style="2424" customWidth="1"/>
    <col min="30" max="31" width="1.77734375" style="2424" customWidth="1"/>
    <col min="32" max="32" width="10.5546875" style="2424" customWidth="1"/>
    <col min="33" max="34" width="1" style="2424" customWidth="1"/>
    <col min="35" max="35" width="12.88671875" style="2424" customWidth="1"/>
    <col min="36" max="37" width="1" style="2424" customWidth="1"/>
    <col min="38" max="38" width="13.109375" style="2424" bestFit="1" customWidth="1"/>
    <col min="39" max="39" width="1.33203125" style="306" customWidth="1"/>
    <col min="40" max="40" width="11.33203125" style="306" customWidth="1"/>
    <col min="41" max="16384" width="8.88671875" style="306"/>
  </cols>
  <sheetData>
    <row r="1" spans="1:41">
      <c r="B1" s="1227" t="s">
        <v>1322</v>
      </c>
    </row>
    <row r="2" spans="1:41">
      <c r="B2" s="1876"/>
    </row>
    <row r="3" spans="1:41" ht="19.5" customHeight="1">
      <c r="A3" s="651"/>
      <c r="B3" s="543" t="s">
        <v>0</v>
      </c>
      <c r="C3" s="652"/>
      <c r="D3" s="2425"/>
      <c r="E3" s="2425"/>
      <c r="F3" s="2426"/>
      <c r="G3" s="2426"/>
      <c r="H3" s="2426"/>
      <c r="I3" s="2426"/>
      <c r="J3" s="2426"/>
      <c r="K3" s="2426"/>
      <c r="L3" s="653"/>
      <c r="M3" s="653"/>
      <c r="N3" s="653"/>
      <c r="O3" s="653"/>
      <c r="P3" s="653"/>
      <c r="Q3" s="653"/>
      <c r="R3" s="653"/>
      <c r="S3" s="702"/>
      <c r="T3" s="653"/>
      <c r="U3" s="653"/>
      <c r="V3" s="653"/>
      <c r="W3" s="653"/>
      <c r="X3" s="653"/>
      <c r="Y3" s="653"/>
      <c r="Z3" s="653"/>
      <c r="AA3" s="2426"/>
      <c r="AB3" s="2426"/>
      <c r="AC3" s="2426"/>
      <c r="AD3" s="2426"/>
      <c r="AE3" s="2426"/>
      <c r="AF3" s="2426"/>
      <c r="AG3" s="2426"/>
      <c r="AH3" s="2426"/>
      <c r="AI3" s="2426"/>
      <c r="AJ3" s="2426"/>
      <c r="AK3" s="2426"/>
      <c r="AN3" s="512" t="s">
        <v>206</v>
      </c>
    </row>
    <row r="4" spans="1:41" ht="19.5" customHeight="1">
      <c r="A4" s="651"/>
      <c r="B4" s="543" t="s">
        <v>224</v>
      </c>
      <c r="C4" s="652"/>
      <c r="D4" s="2425"/>
      <c r="E4" s="2425"/>
      <c r="F4" s="2426"/>
      <c r="G4" s="2426"/>
      <c r="H4" s="2426"/>
      <c r="I4" s="2426"/>
      <c r="J4" s="2426"/>
      <c r="K4" s="2426"/>
      <c r="L4" s="653"/>
      <c r="M4" s="653"/>
      <c r="N4" s="653"/>
      <c r="O4" s="653"/>
      <c r="P4" s="653"/>
      <c r="Q4" s="653"/>
      <c r="R4" s="653"/>
      <c r="S4" s="653"/>
      <c r="T4" s="653"/>
      <c r="U4" s="653"/>
      <c r="V4" s="653"/>
      <c r="W4" s="653"/>
      <c r="X4" s="653"/>
      <c r="Y4" s="653"/>
      <c r="Z4" s="653"/>
      <c r="AA4" s="2426"/>
      <c r="AB4" s="2426"/>
      <c r="AC4" s="2426"/>
      <c r="AD4" s="2426"/>
      <c r="AE4" s="2426"/>
      <c r="AG4" s="2439"/>
      <c r="AH4" s="2439"/>
    </row>
    <row r="5" spans="1:41" ht="19.5" customHeight="1">
      <c r="A5" s="651"/>
      <c r="B5" s="510" t="s">
        <v>1384</v>
      </c>
      <c r="C5" s="652"/>
      <c r="D5" s="2425"/>
      <c r="E5" s="2425"/>
      <c r="F5" s="2426"/>
      <c r="G5" s="2426"/>
      <c r="H5" s="2426"/>
      <c r="I5" s="2426"/>
      <c r="J5" s="2426"/>
      <c r="K5" s="2426"/>
      <c r="L5" s="653"/>
      <c r="M5" s="653"/>
      <c r="N5" s="653"/>
      <c r="O5" s="653"/>
      <c r="P5" s="653"/>
      <c r="Q5" s="653"/>
      <c r="R5" s="653"/>
      <c r="S5" s="653"/>
      <c r="T5" s="653"/>
      <c r="U5" s="653"/>
      <c r="V5" s="653"/>
      <c r="W5" s="653"/>
      <c r="X5" s="653"/>
      <c r="Y5" s="653"/>
      <c r="Z5" s="653"/>
      <c r="AA5" s="2426"/>
      <c r="AB5" s="2426"/>
      <c r="AC5" s="2426"/>
      <c r="AD5" s="2426"/>
      <c r="AE5" s="2426"/>
      <c r="AF5" s="2426"/>
      <c r="AG5" s="2426"/>
      <c r="AH5" s="2426"/>
      <c r="AI5" s="2426"/>
      <c r="AJ5" s="2426"/>
      <c r="AK5" s="2426"/>
      <c r="AN5" s="512"/>
    </row>
    <row r="6" spans="1:41" ht="19.5" customHeight="1">
      <c r="A6" s="651"/>
      <c r="B6" s="510" t="s">
        <v>1423</v>
      </c>
      <c r="C6" s="1965"/>
      <c r="D6" s="2425"/>
      <c r="E6" s="2425"/>
      <c r="F6" s="2426"/>
      <c r="G6" s="2426"/>
      <c r="H6" s="2427"/>
      <c r="I6" s="2426"/>
      <c r="J6" s="2426"/>
      <c r="K6" s="2426"/>
      <c r="L6" s="653"/>
      <c r="M6" s="653"/>
      <c r="N6" s="653"/>
      <c r="O6" s="653"/>
      <c r="P6" s="653"/>
      <c r="Q6" s="653"/>
      <c r="R6" s="653"/>
      <c r="S6" s="653"/>
      <c r="T6" s="653"/>
      <c r="U6" s="653"/>
      <c r="V6" s="653"/>
      <c r="W6" s="653"/>
      <c r="X6" s="653"/>
      <c r="Y6" s="653"/>
      <c r="Z6" s="653"/>
      <c r="AA6" s="2426"/>
      <c r="AB6" s="2426"/>
      <c r="AC6" s="2426"/>
      <c r="AD6" s="2426"/>
      <c r="AE6" s="2426"/>
      <c r="AF6" s="2426"/>
      <c r="AG6" s="2440"/>
      <c r="AH6" s="2440"/>
      <c r="AI6" s="2440"/>
      <c r="AJ6" s="2440"/>
      <c r="AK6" s="2440"/>
    </row>
    <row r="7" spans="1:41" ht="19.5" customHeight="1">
      <c r="A7" s="651"/>
      <c r="B7" s="657" t="s">
        <v>1199</v>
      </c>
      <c r="C7" s="652"/>
      <c r="D7" s="2425"/>
      <c r="E7" s="2425"/>
      <c r="F7" s="2426"/>
      <c r="G7" s="2426"/>
      <c r="H7" s="2427"/>
      <c r="I7" s="2426"/>
      <c r="J7" s="2426"/>
      <c r="K7" s="2426"/>
      <c r="L7" s="653"/>
      <c r="M7" s="653"/>
      <c r="N7" s="653"/>
      <c r="O7" s="653"/>
      <c r="P7" s="653"/>
      <c r="Q7" s="653"/>
      <c r="R7" s="653"/>
      <c r="S7" s="653"/>
      <c r="T7" s="653"/>
      <c r="U7" s="653"/>
      <c r="V7" s="653"/>
      <c r="W7" s="653"/>
      <c r="X7" s="653"/>
      <c r="Y7" s="653"/>
      <c r="Z7" s="653"/>
      <c r="AA7" s="2426"/>
      <c r="AB7" s="2426"/>
      <c r="AC7" s="2426"/>
      <c r="AD7" s="2426"/>
      <c r="AE7" s="2426"/>
      <c r="AF7" s="2426"/>
      <c r="AG7" s="2440"/>
      <c r="AH7" s="2440"/>
      <c r="AI7" s="2440"/>
      <c r="AJ7" s="2440"/>
      <c r="AK7" s="2440"/>
    </row>
    <row r="8" spans="1:41" ht="19.5" customHeight="1">
      <c r="A8" s="651"/>
      <c r="B8" s="510"/>
      <c r="C8" s="652"/>
      <c r="D8" s="2425"/>
      <c r="E8" s="2425"/>
      <c r="F8" s="2426"/>
      <c r="G8" s="2426"/>
      <c r="H8" s="2427"/>
      <c r="I8" s="2426"/>
      <c r="J8" s="2426"/>
      <c r="K8" s="2426"/>
      <c r="L8" s="653"/>
      <c r="M8" s="653"/>
      <c r="N8" s="653"/>
      <c r="O8" s="653"/>
      <c r="P8" s="653"/>
      <c r="Q8" s="653"/>
      <c r="R8" s="653"/>
      <c r="S8" s="653"/>
      <c r="T8" s="653"/>
      <c r="U8" s="653"/>
      <c r="V8" s="653"/>
      <c r="W8" s="653"/>
      <c r="X8" s="653"/>
      <c r="Y8" s="653"/>
      <c r="Z8" s="653"/>
      <c r="AA8" s="2426"/>
      <c r="AB8" s="2426"/>
      <c r="AC8" s="2426"/>
      <c r="AD8" s="2426"/>
      <c r="AE8" s="2426"/>
      <c r="AF8" s="2426"/>
      <c r="AG8" s="2440"/>
      <c r="AH8" s="2440"/>
      <c r="AI8" s="2440"/>
      <c r="AJ8" s="2440"/>
      <c r="AK8" s="2440"/>
    </row>
    <row r="9" spans="1:41" ht="15.75" customHeight="1">
      <c r="A9" s="651"/>
      <c r="B9" s="657"/>
      <c r="C9" s="652"/>
      <c r="D9" s="2425"/>
      <c r="E9" s="2425"/>
      <c r="F9" s="2426"/>
      <c r="G9" s="2426"/>
      <c r="H9" s="2426"/>
      <c r="I9" s="2426"/>
      <c r="J9" s="2426"/>
      <c r="K9" s="2426"/>
      <c r="L9" s="653"/>
      <c r="M9" s="653"/>
      <c r="N9" s="653"/>
      <c r="O9" s="653"/>
      <c r="P9" s="653"/>
      <c r="Q9" s="653"/>
      <c r="R9" s="653"/>
      <c r="S9" s="653"/>
      <c r="T9" s="653"/>
      <c r="U9" s="653"/>
      <c r="V9" s="653"/>
      <c r="W9" s="653"/>
      <c r="X9" s="653"/>
      <c r="Y9" s="653"/>
      <c r="Z9" s="653"/>
      <c r="AA9" s="2426"/>
      <c r="AB9" s="2426"/>
      <c r="AC9" s="2426"/>
      <c r="AD9" s="2426"/>
      <c r="AE9" s="2441"/>
    </row>
    <row r="10" spans="1:41" ht="15.75" customHeight="1">
      <c r="A10" s="651"/>
      <c r="B10" s="657"/>
      <c r="C10" s="652"/>
      <c r="D10" s="2425"/>
      <c r="E10" s="2425"/>
      <c r="F10" s="2426"/>
      <c r="G10" s="2426"/>
      <c r="H10" s="2426"/>
      <c r="I10" s="2426"/>
      <c r="J10" s="2426"/>
      <c r="K10" s="2426"/>
      <c r="L10" s="653"/>
      <c r="M10" s="653"/>
      <c r="N10" s="653"/>
      <c r="O10" s="653"/>
      <c r="P10" s="653"/>
      <c r="Q10" s="653"/>
      <c r="R10" s="653"/>
      <c r="S10" s="653"/>
      <c r="T10" s="653"/>
      <c r="U10" s="653"/>
      <c r="V10" s="653"/>
      <c r="W10" s="653"/>
      <c r="X10" s="653"/>
      <c r="Y10" s="653"/>
      <c r="Z10" s="653"/>
      <c r="AA10" s="2426"/>
      <c r="AB10" s="2426"/>
      <c r="AC10" s="2426"/>
      <c r="AD10" s="2426"/>
      <c r="AE10" s="2441"/>
      <c r="AF10" s="3361" t="s">
        <v>1630</v>
      </c>
      <c r="AG10" s="3368"/>
      <c r="AH10" s="3368"/>
      <c r="AI10" s="3368"/>
      <c r="AJ10" s="3368"/>
      <c r="AK10" s="3368"/>
      <c r="AL10" s="3368"/>
      <c r="AM10" s="3368"/>
      <c r="AN10" s="3368"/>
    </row>
    <row r="11" spans="1:41" ht="15.75" customHeight="1">
      <c r="A11" s="651"/>
      <c r="B11" s="659"/>
      <c r="C11" s="652"/>
      <c r="D11" s="2425"/>
      <c r="E11" s="2428"/>
      <c r="F11" s="2429"/>
      <c r="G11" s="2429"/>
      <c r="H11" s="2429"/>
      <c r="I11" s="2429"/>
      <c r="J11" s="2429"/>
      <c r="K11" s="2429"/>
      <c r="L11" s="1656"/>
      <c r="M11" s="1656"/>
      <c r="N11" s="1656"/>
      <c r="O11" s="1656"/>
      <c r="P11" s="1656"/>
      <c r="Q11" s="1656"/>
      <c r="R11" s="1656"/>
      <c r="S11" s="1656"/>
      <c r="T11" s="1656"/>
      <c r="U11" s="1656"/>
      <c r="V11" s="1656"/>
      <c r="W11" s="1656"/>
      <c r="X11" s="1656"/>
      <c r="Y11" s="1656"/>
      <c r="Z11" s="1656"/>
      <c r="AA11" s="2429"/>
      <c r="AB11" s="2429"/>
      <c r="AC11" s="1634" t="s">
        <v>1604</v>
      </c>
      <c r="AD11" s="2429"/>
      <c r="AE11" s="2442"/>
      <c r="AF11" s="2474"/>
      <c r="AG11" s="2474"/>
      <c r="AH11" s="2474"/>
      <c r="AI11" s="2474"/>
      <c r="AJ11" s="2474"/>
      <c r="AK11" s="2474"/>
      <c r="AL11" s="2474"/>
      <c r="AM11" s="1663"/>
      <c r="AN11" s="1663"/>
      <c r="AO11" s="1663"/>
    </row>
    <row r="12" spans="1:41" ht="15.75" customHeight="1">
      <c r="A12" s="660"/>
      <c r="B12" s="660"/>
      <c r="C12" s="660"/>
      <c r="D12" s="2471"/>
      <c r="E12" s="1617">
        <v>2014</v>
      </c>
      <c r="F12" s="2430"/>
      <c r="G12" s="2430"/>
      <c r="H12" s="2430"/>
      <c r="I12" s="2430"/>
      <c r="J12" s="2430"/>
      <c r="K12" s="2430"/>
      <c r="L12" s="1659"/>
      <c r="M12" s="1659"/>
      <c r="N12" s="1659"/>
      <c r="O12" s="1659"/>
      <c r="P12" s="1659"/>
      <c r="Q12" s="1659"/>
      <c r="R12" s="1659"/>
      <c r="S12" s="1659"/>
      <c r="T12" s="1659"/>
      <c r="U12" s="1659"/>
      <c r="V12" s="1659"/>
      <c r="W12" s="1627">
        <v>2015</v>
      </c>
      <c r="X12" s="1659"/>
      <c r="Y12" s="1659"/>
      <c r="Z12" s="1659"/>
      <c r="AA12" s="2430"/>
      <c r="AB12" s="2430"/>
      <c r="AC12" s="1634" t="s">
        <v>1605</v>
      </c>
      <c r="AD12" s="2430"/>
      <c r="AE12" s="2430"/>
      <c r="AF12" s="2445"/>
      <c r="AG12" s="2445"/>
      <c r="AH12" s="2445"/>
      <c r="AI12" s="2445"/>
      <c r="AJ12" s="2445"/>
      <c r="AK12" s="2445"/>
      <c r="AL12" s="2446" t="s">
        <v>8</v>
      </c>
      <c r="AM12" s="1634"/>
      <c r="AN12" s="1629" t="s">
        <v>9</v>
      </c>
      <c r="AO12" s="1663"/>
    </row>
    <row r="13" spans="1:41" ht="15.75">
      <c r="A13" s="227"/>
      <c r="B13" s="227"/>
      <c r="C13" s="227"/>
      <c r="D13" s="312"/>
      <c r="E13" s="1661" t="s">
        <v>131</v>
      </c>
      <c r="F13" s="310"/>
      <c r="G13" s="1661" t="s">
        <v>132</v>
      </c>
      <c r="H13" s="310"/>
      <c r="I13" s="1661" t="s">
        <v>133</v>
      </c>
      <c r="J13" s="310"/>
      <c r="K13" s="1661" t="s">
        <v>134</v>
      </c>
      <c r="L13" s="225"/>
      <c r="M13" s="1609" t="s">
        <v>135</v>
      </c>
      <c r="N13" s="225"/>
      <c r="O13" s="1609" t="s">
        <v>136</v>
      </c>
      <c r="P13" s="225"/>
      <c r="Q13" s="1609" t="s">
        <v>137</v>
      </c>
      <c r="R13" s="225"/>
      <c r="S13" s="1609" t="s">
        <v>138</v>
      </c>
      <c r="T13" s="225"/>
      <c r="U13" s="1609" t="s">
        <v>139</v>
      </c>
      <c r="V13" s="225"/>
      <c r="W13" s="1609" t="s">
        <v>156</v>
      </c>
      <c r="X13" s="225"/>
      <c r="Y13" s="1609" t="s">
        <v>141</v>
      </c>
      <c r="Z13" s="225"/>
      <c r="AA13" s="1661" t="s">
        <v>142</v>
      </c>
      <c r="AB13" s="1662"/>
      <c r="AC13" s="2364" t="s">
        <v>1606</v>
      </c>
      <c r="AD13" s="310"/>
      <c r="AE13" s="310"/>
      <c r="AF13" s="1661">
        <v>2014</v>
      </c>
      <c r="AG13" s="310" t="s">
        <v>16</v>
      </c>
      <c r="AH13" s="310"/>
      <c r="AI13" s="1661">
        <v>2013</v>
      </c>
      <c r="AJ13" s="1662"/>
      <c r="AK13" s="1662"/>
      <c r="AL13" s="2447" t="s">
        <v>13</v>
      </c>
      <c r="AM13" s="1632"/>
      <c r="AN13" s="1642" t="s">
        <v>14</v>
      </c>
      <c r="AO13" s="1663"/>
    </row>
    <row r="14" spans="1:41" ht="15.75">
      <c r="A14" s="227"/>
      <c r="B14" s="225"/>
      <c r="C14" s="225"/>
      <c r="D14" s="312"/>
      <c r="E14" s="346"/>
      <c r="F14" s="346"/>
      <c r="G14" s="346"/>
      <c r="H14" s="346"/>
      <c r="I14" s="346"/>
      <c r="J14" s="346"/>
      <c r="K14" s="346"/>
      <c r="L14" s="372"/>
      <c r="M14" s="372"/>
      <c r="N14" s="372"/>
      <c r="O14" s="372"/>
      <c r="P14" s="372"/>
      <c r="Q14" s="372"/>
      <c r="R14" s="372"/>
      <c r="S14" s="372"/>
      <c r="T14" s="372"/>
      <c r="U14" s="372"/>
      <c r="V14" s="372"/>
      <c r="W14" s="372"/>
      <c r="X14" s="372"/>
      <c r="Y14" s="372"/>
      <c r="Z14" s="372"/>
      <c r="AA14" s="346"/>
      <c r="AB14" s="346"/>
      <c r="AC14" s="346"/>
      <c r="AD14" s="346"/>
      <c r="AE14" s="2376"/>
      <c r="AF14" s="346"/>
      <c r="AG14" s="346"/>
      <c r="AH14" s="2376"/>
      <c r="AI14" s="346"/>
      <c r="AJ14" s="346"/>
      <c r="AK14" s="2278"/>
      <c r="AL14" s="2450"/>
      <c r="AM14" s="662"/>
      <c r="AN14" s="662"/>
    </row>
    <row r="15" spans="1:41" ht="15.75">
      <c r="A15" s="227"/>
      <c r="B15" s="225" t="s">
        <v>207</v>
      </c>
      <c r="C15" s="227"/>
      <c r="D15" s="312"/>
      <c r="E15" s="346"/>
      <c r="F15" s="346"/>
      <c r="G15" s="346"/>
      <c r="H15" s="346"/>
      <c r="I15" s="346"/>
      <c r="J15" s="346"/>
      <c r="K15" s="346"/>
      <c r="L15" s="372"/>
      <c r="M15" s="372"/>
      <c r="N15" s="372"/>
      <c r="O15" s="372"/>
      <c r="P15" s="372"/>
      <c r="Q15" s="372"/>
      <c r="R15" s="372"/>
      <c r="S15" s="372"/>
      <c r="T15" s="372"/>
      <c r="U15" s="372"/>
      <c r="V15" s="372"/>
      <c r="W15" s="372"/>
      <c r="X15" s="372"/>
      <c r="Y15" s="372"/>
      <c r="Z15" s="372"/>
      <c r="AA15" s="346"/>
      <c r="AB15" s="346"/>
      <c r="AC15" s="346"/>
      <c r="AD15" s="346"/>
      <c r="AE15" s="2376"/>
      <c r="AF15" s="346"/>
      <c r="AG15" s="322"/>
      <c r="AH15" s="2475"/>
      <c r="AI15" s="346"/>
      <c r="AJ15" s="346"/>
      <c r="AK15" s="2278"/>
      <c r="AL15" s="2450"/>
      <c r="AM15" s="662"/>
      <c r="AN15" s="662"/>
    </row>
    <row r="16" spans="1:41" ht="15.75">
      <c r="A16" s="227"/>
      <c r="B16" s="1979" t="s">
        <v>1428</v>
      </c>
      <c r="C16" s="227"/>
      <c r="D16" s="312"/>
      <c r="E16" s="2406"/>
      <c r="F16" s="323"/>
      <c r="G16" s="2406"/>
      <c r="H16" s="323"/>
      <c r="I16" s="2406"/>
      <c r="J16" s="323"/>
      <c r="K16" s="2406"/>
      <c r="L16" s="323"/>
      <c r="M16" s="323"/>
      <c r="N16" s="323"/>
      <c r="O16" s="2406"/>
      <c r="P16" s="323"/>
      <c r="Q16" s="2406"/>
      <c r="R16" s="323"/>
      <c r="S16" s="2406"/>
      <c r="T16" s="323"/>
      <c r="U16" s="2406"/>
      <c r="V16" s="323"/>
      <c r="W16" s="2406"/>
      <c r="X16" s="323"/>
      <c r="Y16" s="2406"/>
      <c r="Z16" s="323"/>
      <c r="AA16" s="2406"/>
      <c r="AB16" s="2406"/>
      <c r="AC16" s="2406"/>
      <c r="AD16" s="323"/>
      <c r="AE16" s="1328"/>
      <c r="AF16" s="2407"/>
      <c r="AG16" s="2408"/>
      <c r="AH16" s="266"/>
      <c r="AI16" s="323"/>
      <c r="AJ16" s="324"/>
      <c r="AK16" s="2409"/>
      <c r="AL16" s="324"/>
      <c r="AM16" s="2410"/>
      <c r="AN16" s="2411"/>
    </row>
    <row r="17" spans="1:40" ht="15.75">
      <c r="A17" s="227"/>
      <c r="B17" s="1979" t="s">
        <v>1561</v>
      </c>
      <c r="C17" s="227"/>
      <c r="D17" s="312"/>
      <c r="E17" s="2406"/>
      <c r="F17" s="323"/>
      <c r="G17" s="2406"/>
      <c r="H17" s="323"/>
      <c r="I17" s="2406"/>
      <c r="J17" s="323"/>
      <c r="K17" s="2406"/>
      <c r="L17" s="265"/>
      <c r="M17" s="265"/>
      <c r="N17" s="265"/>
      <c r="O17" s="522"/>
      <c r="P17" s="265"/>
      <c r="Q17" s="522"/>
      <c r="R17" s="265"/>
      <c r="S17" s="522"/>
      <c r="T17" s="265"/>
      <c r="U17" s="522"/>
      <c r="V17" s="265"/>
      <c r="W17" s="522"/>
      <c r="X17" s="265"/>
      <c r="Y17" s="522"/>
      <c r="Z17" s="265"/>
      <c r="AA17" s="2406"/>
      <c r="AB17" s="2406"/>
      <c r="AC17" s="2406"/>
      <c r="AD17" s="323"/>
      <c r="AE17" s="1328"/>
      <c r="AF17" s="2407"/>
      <c r="AG17" s="2412"/>
      <c r="AH17" s="266"/>
      <c r="AI17" s="323"/>
      <c r="AJ17" s="324"/>
      <c r="AK17" s="2409"/>
      <c r="AL17" s="324"/>
      <c r="AM17" s="672"/>
      <c r="AN17" s="45"/>
    </row>
    <row r="18" spans="1:40">
      <c r="A18" s="227"/>
      <c r="B18" s="1979" t="s">
        <v>1462</v>
      </c>
      <c r="C18" s="227"/>
      <c r="D18" s="312"/>
      <c r="E18" s="3168">
        <v>0</v>
      </c>
      <c r="F18" s="1981"/>
      <c r="G18" s="3168">
        <v>0</v>
      </c>
      <c r="H18" s="1981"/>
      <c r="I18" s="3168">
        <v>0</v>
      </c>
      <c r="J18" s="1981"/>
      <c r="K18" s="3168">
        <v>0</v>
      </c>
      <c r="L18" s="1214"/>
      <c r="M18" s="1295">
        <v>0</v>
      </c>
      <c r="N18" s="1214"/>
      <c r="O18" s="1295">
        <v>0</v>
      </c>
      <c r="P18" s="1214"/>
      <c r="Q18" s="2189">
        <v>0</v>
      </c>
      <c r="R18" s="1214"/>
      <c r="S18" s="1404"/>
      <c r="T18" s="1214"/>
      <c r="U18" s="1404"/>
      <c r="V18" s="1214"/>
      <c r="W18" s="1404"/>
      <c r="X18" s="1214"/>
      <c r="Y18" s="1404"/>
      <c r="Z18" s="1214"/>
      <c r="AA18" s="1983"/>
      <c r="AB18" s="1983"/>
      <c r="AC18" s="3224">
        <v>0</v>
      </c>
      <c r="AD18" s="1982"/>
      <c r="AE18" s="3169"/>
      <c r="AF18" s="1980">
        <f>ROUND(SUM(E18:AC18),1)</f>
        <v>0</v>
      </c>
      <c r="AG18" s="3170"/>
      <c r="AH18" s="2304"/>
      <c r="AI18" s="1981">
        <v>0</v>
      </c>
      <c r="AJ18" s="1980"/>
      <c r="AK18" s="3171"/>
      <c r="AL18" s="1980">
        <f t="shared" ref="AL18:AL37" si="0">ROUND(AF18-AI18,1)</f>
        <v>0</v>
      </c>
      <c r="AM18" s="2166"/>
      <c r="AN18" s="3249">
        <f>ROUND(IF(AI18=0,0,AL18/(AI18)),3)</f>
        <v>0</v>
      </c>
    </row>
    <row r="19" spans="1:40" ht="15.75">
      <c r="A19" s="227"/>
      <c r="B19" s="1979" t="s">
        <v>1562</v>
      </c>
      <c r="C19" s="227"/>
      <c r="D19" s="312"/>
      <c r="E19" s="2406"/>
      <c r="F19" s="323"/>
      <c r="G19" s="2406"/>
      <c r="H19" s="323"/>
      <c r="I19" s="2406"/>
      <c r="J19" s="323"/>
      <c r="K19" s="2406"/>
      <c r="L19" s="265"/>
      <c r="M19" s="265"/>
      <c r="N19" s="265"/>
      <c r="O19" s="522"/>
      <c r="P19" s="265"/>
      <c r="Q19" s="522"/>
      <c r="R19" s="265"/>
      <c r="S19" s="522"/>
      <c r="T19" s="265"/>
      <c r="U19" s="522"/>
      <c r="V19" s="265"/>
      <c r="W19" s="522"/>
      <c r="X19" s="265"/>
      <c r="Y19" s="522"/>
      <c r="Z19" s="265"/>
      <c r="AA19" s="2406"/>
      <c r="AB19" s="2406"/>
      <c r="AC19" s="2406"/>
      <c r="AD19" s="323"/>
      <c r="AE19" s="1328"/>
      <c r="AF19" s="2407"/>
      <c r="AG19" s="2412"/>
      <c r="AH19" s="266"/>
      <c r="AI19" s="323"/>
      <c r="AJ19" s="324"/>
      <c r="AK19" s="2409"/>
      <c r="AL19" s="1400" t="s">
        <v>16</v>
      </c>
      <c r="AM19" s="672"/>
      <c r="AN19" s="2040" t="s">
        <v>16</v>
      </c>
    </row>
    <row r="20" spans="1:40" ht="15.75">
      <c r="A20" s="227"/>
      <c r="B20" s="1979" t="s">
        <v>1463</v>
      </c>
      <c r="C20" s="227"/>
      <c r="D20" s="312"/>
      <c r="E20" s="2406">
        <v>0</v>
      </c>
      <c r="F20" s="323"/>
      <c r="G20" s="2406">
        <v>0</v>
      </c>
      <c r="H20" s="323"/>
      <c r="I20" s="2406">
        <v>0</v>
      </c>
      <c r="J20" s="323"/>
      <c r="K20" s="2406">
        <v>0</v>
      </c>
      <c r="L20" s="265"/>
      <c r="M20" s="2406">
        <v>0</v>
      </c>
      <c r="N20" s="265"/>
      <c r="O20" s="2406">
        <v>0</v>
      </c>
      <c r="P20" s="265"/>
      <c r="Q20" s="522">
        <v>0</v>
      </c>
      <c r="R20" s="265"/>
      <c r="S20" s="522"/>
      <c r="T20" s="265"/>
      <c r="U20" s="522"/>
      <c r="V20" s="265"/>
      <c r="W20" s="522"/>
      <c r="X20" s="265"/>
      <c r="Y20" s="522"/>
      <c r="Z20" s="265"/>
      <c r="AA20" s="2406"/>
      <c r="AB20" s="2406"/>
      <c r="AC20" s="1245">
        <v>0</v>
      </c>
      <c r="AD20" s="323"/>
      <c r="AE20" s="1328"/>
      <c r="AF20" s="324">
        <f>ROUND(SUM(E20:AC20),1)</f>
        <v>0</v>
      </c>
      <c r="AG20" s="2412"/>
      <c r="AH20" s="266"/>
      <c r="AI20" s="323">
        <v>0</v>
      </c>
      <c r="AJ20" s="324"/>
      <c r="AK20" s="2409"/>
      <c r="AL20" s="324">
        <f t="shared" si="0"/>
        <v>0</v>
      </c>
      <c r="AM20" s="672"/>
      <c r="AN20" s="45">
        <f t="shared" ref="AN20:AN38" si="1">ROUND(IF(AI20=0,0,AL20/(AI20)),3)</f>
        <v>0</v>
      </c>
    </row>
    <row r="21" spans="1:40" ht="15.75">
      <c r="A21" s="227"/>
      <c r="B21" s="1979" t="s">
        <v>1567</v>
      </c>
      <c r="C21" s="227"/>
      <c r="D21" s="312"/>
      <c r="E21" s="2406"/>
      <c r="F21" s="323"/>
      <c r="G21" s="2406"/>
      <c r="H21" s="323"/>
      <c r="I21" s="2406"/>
      <c r="J21" s="323"/>
      <c r="K21" s="2406"/>
      <c r="L21" s="265"/>
      <c r="M21" s="2406"/>
      <c r="N21" s="265"/>
      <c r="O21" s="2406"/>
      <c r="P21" s="265"/>
      <c r="Q21" s="522"/>
      <c r="R21" s="265"/>
      <c r="S21" s="522"/>
      <c r="T21" s="265"/>
      <c r="U21" s="522"/>
      <c r="V21" s="265"/>
      <c r="W21" s="522"/>
      <c r="X21" s="265"/>
      <c r="Y21" s="522"/>
      <c r="Z21" s="265"/>
      <c r="AA21" s="2406"/>
      <c r="AB21" s="2406"/>
      <c r="AC21" s="2406"/>
      <c r="AD21" s="323"/>
      <c r="AE21" s="1328"/>
      <c r="AF21" s="324"/>
      <c r="AG21" s="2412"/>
      <c r="AH21" s="266"/>
      <c r="AI21" s="323"/>
      <c r="AJ21" s="324"/>
      <c r="AK21" s="2409"/>
      <c r="AL21" s="1400" t="s">
        <v>16</v>
      </c>
      <c r="AM21" s="672"/>
      <c r="AN21" s="2040" t="s">
        <v>16</v>
      </c>
    </row>
    <row r="22" spans="1:40" ht="15.75">
      <c r="A22" s="227"/>
      <c r="B22" s="1979" t="s">
        <v>1467</v>
      </c>
      <c r="C22" s="227"/>
      <c r="D22" s="312"/>
      <c r="E22" s="2406">
        <v>0</v>
      </c>
      <c r="F22" s="323"/>
      <c r="G22" s="2406">
        <v>0</v>
      </c>
      <c r="H22" s="323"/>
      <c r="I22" s="2406">
        <v>0</v>
      </c>
      <c r="J22" s="323"/>
      <c r="K22" s="2406">
        <v>0</v>
      </c>
      <c r="L22" s="265"/>
      <c r="M22" s="2406">
        <v>0</v>
      </c>
      <c r="N22" s="265"/>
      <c r="O22" s="2406">
        <v>0</v>
      </c>
      <c r="P22" s="265"/>
      <c r="Q22" s="522">
        <v>0</v>
      </c>
      <c r="R22" s="265"/>
      <c r="S22" s="522"/>
      <c r="T22" s="265"/>
      <c r="U22" s="522"/>
      <c r="V22" s="265"/>
      <c r="W22" s="522"/>
      <c r="X22" s="265"/>
      <c r="Y22" s="522"/>
      <c r="Z22" s="265"/>
      <c r="AA22" s="2406"/>
      <c r="AB22" s="2406"/>
      <c r="AC22" s="1245">
        <v>0</v>
      </c>
      <c r="AD22" s="323"/>
      <c r="AE22" s="1328"/>
      <c r="AF22" s="324">
        <f>ROUND(SUM(E22:AC22),1)</f>
        <v>0</v>
      </c>
      <c r="AG22" s="2412"/>
      <c r="AH22" s="266"/>
      <c r="AI22" s="323">
        <v>0</v>
      </c>
      <c r="AJ22" s="324"/>
      <c r="AK22" s="2409"/>
      <c r="AL22" s="324">
        <f t="shared" si="0"/>
        <v>0</v>
      </c>
      <c r="AM22" s="672"/>
      <c r="AN22" s="45">
        <f t="shared" si="1"/>
        <v>0</v>
      </c>
    </row>
    <row r="23" spans="1:40" ht="15.75">
      <c r="A23" s="227"/>
      <c r="B23" s="1979" t="s">
        <v>1470</v>
      </c>
      <c r="C23" s="227"/>
      <c r="D23" s="312"/>
      <c r="E23" s="2406">
        <v>0</v>
      </c>
      <c r="F23" s="323"/>
      <c r="G23" s="2406">
        <v>0</v>
      </c>
      <c r="H23" s="323"/>
      <c r="I23" s="2406">
        <v>0</v>
      </c>
      <c r="J23" s="323"/>
      <c r="K23" s="2406">
        <v>0</v>
      </c>
      <c r="L23" s="265"/>
      <c r="M23" s="2406">
        <v>0</v>
      </c>
      <c r="N23" s="265"/>
      <c r="O23" s="2406">
        <v>0</v>
      </c>
      <c r="P23" s="265"/>
      <c r="Q23" s="522">
        <v>0</v>
      </c>
      <c r="R23" s="265"/>
      <c r="S23" s="522"/>
      <c r="T23" s="265"/>
      <c r="U23" s="522"/>
      <c r="V23" s="265"/>
      <c r="W23" s="522"/>
      <c r="X23" s="265"/>
      <c r="Y23" s="522"/>
      <c r="Z23" s="265"/>
      <c r="AA23" s="2406"/>
      <c r="AB23" s="2406"/>
      <c r="AC23" s="1245">
        <v>0</v>
      </c>
      <c r="AD23" s="323"/>
      <c r="AE23" s="1328"/>
      <c r="AF23" s="324">
        <f>ROUND(SUM(E23:AC23),1)</f>
        <v>0</v>
      </c>
      <c r="AG23" s="2412"/>
      <c r="AH23" s="266"/>
      <c r="AI23" s="323">
        <v>0</v>
      </c>
      <c r="AJ23" s="324"/>
      <c r="AK23" s="2409"/>
      <c r="AL23" s="324">
        <f t="shared" si="0"/>
        <v>0</v>
      </c>
      <c r="AM23" s="672"/>
      <c r="AN23" s="45">
        <f t="shared" si="1"/>
        <v>0</v>
      </c>
    </row>
    <row r="24" spans="1:40" ht="15.75">
      <c r="A24" s="227"/>
      <c r="B24" s="1979" t="s">
        <v>1471</v>
      </c>
      <c r="C24" s="227"/>
      <c r="D24" s="312"/>
      <c r="E24" s="2406">
        <v>0</v>
      </c>
      <c r="F24" s="323"/>
      <c r="G24" s="2406">
        <v>0</v>
      </c>
      <c r="H24" s="323"/>
      <c r="I24" s="2406">
        <v>0</v>
      </c>
      <c r="J24" s="323"/>
      <c r="K24" s="2406">
        <v>0</v>
      </c>
      <c r="L24" s="265"/>
      <c r="M24" s="2406">
        <v>0</v>
      </c>
      <c r="N24" s="265"/>
      <c r="O24" s="2406">
        <v>0</v>
      </c>
      <c r="P24" s="265"/>
      <c r="Q24" s="522">
        <v>0</v>
      </c>
      <c r="R24" s="265"/>
      <c r="S24" s="522"/>
      <c r="T24" s="265"/>
      <c r="U24" s="522"/>
      <c r="V24" s="265"/>
      <c r="W24" s="522"/>
      <c r="X24" s="265"/>
      <c r="Y24" s="522"/>
      <c r="Z24" s="265"/>
      <c r="AA24" s="2406"/>
      <c r="AB24" s="2406"/>
      <c r="AC24" s="1245">
        <v>0</v>
      </c>
      <c r="AD24" s="323"/>
      <c r="AE24" s="1328"/>
      <c r="AF24" s="324">
        <f>ROUND(SUM(E24:AC24),1)</f>
        <v>0</v>
      </c>
      <c r="AG24" s="2412"/>
      <c r="AH24" s="266"/>
      <c r="AI24" s="323">
        <v>0</v>
      </c>
      <c r="AJ24" s="324"/>
      <c r="AK24" s="2409"/>
      <c r="AL24" s="324">
        <f t="shared" si="0"/>
        <v>0</v>
      </c>
      <c r="AM24" s="672"/>
      <c r="AN24" s="45">
        <f t="shared" si="1"/>
        <v>0</v>
      </c>
    </row>
    <row r="25" spans="1:40" ht="15.75">
      <c r="A25" s="227"/>
      <c r="B25" s="1979" t="s">
        <v>1429</v>
      </c>
      <c r="C25" s="227"/>
      <c r="D25" s="312"/>
      <c r="E25" s="2406">
        <v>0</v>
      </c>
      <c r="F25" s="323"/>
      <c r="G25" s="2406">
        <v>0</v>
      </c>
      <c r="H25" s="323"/>
      <c r="I25" s="2406">
        <v>0</v>
      </c>
      <c r="J25" s="323"/>
      <c r="K25" s="2406">
        <v>0</v>
      </c>
      <c r="L25" s="265"/>
      <c r="M25" s="2406">
        <v>0</v>
      </c>
      <c r="N25" s="265"/>
      <c r="O25" s="2406">
        <v>0</v>
      </c>
      <c r="P25" s="265"/>
      <c r="Q25" s="522">
        <v>0</v>
      </c>
      <c r="R25" s="265"/>
      <c r="S25" s="522"/>
      <c r="T25" s="265"/>
      <c r="U25" s="522"/>
      <c r="V25" s="265"/>
      <c r="W25" s="522"/>
      <c r="X25" s="265"/>
      <c r="Y25" s="522"/>
      <c r="Z25" s="265"/>
      <c r="AA25" s="2406"/>
      <c r="AB25" s="2406"/>
      <c r="AC25" s="1245">
        <v>0</v>
      </c>
      <c r="AD25" s="323"/>
      <c r="AE25" s="1328"/>
      <c r="AF25" s="324">
        <f>ROUND(SUM(E25:AC25),1)</f>
        <v>0</v>
      </c>
      <c r="AG25" s="2412"/>
      <c r="AH25" s="266"/>
      <c r="AI25" s="323">
        <v>0</v>
      </c>
      <c r="AJ25" s="324"/>
      <c r="AK25" s="2409"/>
      <c r="AL25" s="324">
        <f t="shared" si="0"/>
        <v>0</v>
      </c>
      <c r="AM25" s="672"/>
      <c r="AN25" s="45">
        <f t="shared" si="1"/>
        <v>0</v>
      </c>
    </row>
    <row r="26" spans="1:40" ht="15.75">
      <c r="A26" s="227"/>
      <c r="B26" s="1979" t="s">
        <v>1430</v>
      </c>
      <c r="C26" s="227"/>
      <c r="D26" s="312"/>
      <c r="E26" s="2406">
        <v>0</v>
      </c>
      <c r="F26" s="323"/>
      <c r="G26" s="2406">
        <v>0</v>
      </c>
      <c r="H26" s="323"/>
      <c r="I26" s="2406">
        <v>0</v>
      </c>
      <c r="J26" s="323"/>
      <c r="K26" s="2406">
        <v>0</v>
      </c>
      <c r="L26" s="265"/>
      <c r="M26" s="2406">
        <v>0</v>
      </c>
      <c r="N26" s="265"/>
      <c r="O26" s="2406">
        <v>0</v>
      </c>
      <c r="P26" s="265"/>
      <c r="Q26" s="522">
        <v>0</v>
      </c>
      <c r="R26" s="265"/>
      <c r="S26" s="522"/>
      <c r="T26" s="265"/>
      <c r="U26" s="522"/>
      <c r="V26" s="265"/>
      <c r="W26" s="522"/>
      <c r="X26" s="265"/>
      <c r="Y26" s="522"/>
      <c r="Z26" s="265"/>
      <c r="AA26" s="2406"/>
      <c r="AB26" s="2406"/>
      <c r="AC26" s="1245">
        <v>0</v>
      </c>
      <c r="AD26" s="323"/>
      <c r="AE26" s="1328"/>
      <c r="AF26" s="324">
        <f>ROUND(SUM(E26:AC26),1)</f>
        <v>0</v>
      </c>
      <c r="AG26" s="2412"/>
      <c r="AH26" s="266"/>
      <c r="AI26" s="323">
        <v>0</v>
      </c>
      <c r="AJ26" s="324"/>
      <c r="AK26" s="2409"/>
      <c r="AL26" s="324">
        <f t="shared" si="0"/>
        <v>0</v>
      </c>
      <c r="AM26" s="672"/>
      <c r="AN26" s="45">
        <f t="shared" si="1"/>
        <v>0</v>
      </c>
    </row>
    <row r="27" spans="1:40" ht="15.75">
      <c r="A27" s="227"/>
      <c r="B27" s="1979" t="s">
        <v>1565</v>
      </c>
      <c r="C27" s="227"/>
      <c r="D27" s="312"/>
      <c r="E27" s="2406"/>
      <c r="F27" s="323"/>
      <c r="G27" s="2406"/>
      <c r="H27" s="323"/>
      <c r="I27" s="2406"/>
      <c r="J27" s="323"/>
      <c r="K27" s="2406"/>
      <c r="L27" s="265"/>
      <c r="M27" s="2406"/>
      <c r="N27" s="265"/>
      <c r="O27" s="2406"/>
      <c r="P27" s="265"/>
      <c r="Q27" s="522"/>
      <c r="R27" s="265"/>
      <c r="S27" s="522"/>
      <c r="T27" s="265"/>
      <c r="U27" s="522"/>
      <c r="V27" s="265"/>
      <c r="W27" s="522"/>
      <c r="X27" s="265"/>
      <c r="Y27" s="522"/>
      <c r="Z27" s="265"/>
      <c r="AA27" s="2406"/>
      <c r="AB27" s="2406"/>
      <c r="AC27" s="1245"/>
      <c r="AD27" s="323"/>
      <c r="AE27" s="1328"/>
      <c r="AF27" s="324"/>
      <c r="AG27" s="2412"/>
      <c r="AH27" s="266"/>
      <c r="AI27" s="323"/>
      <c r="AJ27" s="324"/>
      <c r="AK27" s="2409"/>
      <c r="AL27" s="1400" t="s">
        <v>16</v>
      </c>
      <c r="AM27" s="672"/>
      <c r="AN27" s="2040" t="s">
        <v>16</v>
      </c>
    </row>
    <row r="28" spans="1:40" ht="15.75">
      <c r="A28" s="227"/>
      <c r="B28" s="1979" t="s">
        <v>1475</v>
      </c>
      <c r="C28" s="227"/>
      <c r="D28" s="312"/>
      <c r="E28" s="2406">
        <v>0</v>
      </c>
      <c r="F28" s="323"/>
      <c r="G28" s="2406">
        <v>0</v>
      </c>
      <c r="H28" s="323"/>
      <c r="I28" s="2406">
        <v>0</v>
      </c>
      <c r="J28" s="323"/>
      <c r="K28" s="2406">
        <v>0</v>
      </c>
      <c r="L28" s="265"/>
      <c r="M28" s="2406">
        <v>0</v>
      </c>
      <c r="N28" s="265"/>
      <c r="O28" s="2406">
        <v>0</v>
      </c>
      <c r="P28" s="265"/>
      <c r="Q28" s="522">
        <v>0</v>
      </c>
      <c r="R28" s="265"/>
      <c r="S28" s="522"/>
      <c r="T28" s="265"/>
      <c r="U28" s="522"/>
      <c r="V28" s="265"/>
      <c r="W28" s="522"/>
      <c r="X28" s="265"/>
      <c r="Y28" s="522"/>
      <c r="Z28" s="265"/>
      <c r="AA28" s="2406"/>
      <c r="AB28" s="2406"/>
      <c r="AC28" s="1245">
        <v>0</v>
      </c>
      <c r="AD28" s="323"/>
      <c r="AE28" s="1328"/>
      <c r="AF28" s="324">
        <f>ROUND(SUM(E28:AC28),1)</f>
        <v>0</v>
      </c>
      <c r="AG28" s="2412"/>
      <c r="AH28" s="266"/>
      <c r="AI28" s="323">
        <v>0</v>
      </c>
      <c r="AJ28" s="324"/>
      <c r="AK28" s="2409"/>
      <c r="AL28" s="324">
        <f t="shared" si="0"/>
        <v>0</v>
      </c>
      <c r="AM28" s="672"/>
      <c r="AN28" s="45">
        <f t="shared" si="1"/>
        <v>0</v>
      </c>
    </row>
    <row r="29" spans="1:40" ht="15.75">
      <c r="A29" s="227"/>
      <c r="B29" s="1979" t="s">
        <v>1478</v>
      </c>
      <c r="C29" s="227"/>
      <c r="D29" s="312"/>
      <c r="E29" s="2406">
        <v>0</v>
      </c>
      <c r="F29" s="323"/>
      <c r="G29" s="2406">
        <v>0</v>
      </c>
      <c r="H29" s="323"/>
      <c r="I29" s="2406">
        <v>0</v>
      </c>
      <c r="J29" s="323"/>
      <c r="K29" s="2406">
        <v>0</v>
      </c>
      <c r="L29" s="265"/>
      <c r="M29" s="2406">
        <v>0</v>
      </c>
      <c r="N29" s="265"/>
      <c r="O29" s="2406">
        <v>0</v>
      </c>
      <c r="P29" s="265"/>
      <c r="Q29" s="522">
        <v>0</v>
      </c>
      <c r="R29" s="265"/>
      <c r="S29" s="522"/>
      <c r="T29" s="265"/>
      <c r="U29" s="522"/>
      <c r="V29" s="265"/>
      <c r="W29" s="522"/>
      <c r="X29" s="265"/>
      <c r="Y29" s="522"/>
      <c r="Z29" s="265"/>
      <c r="AA29" s="2406"/>
      <c r="AB29" s="2406"/>
      <c r="AC29" s="1245">
        <v>0</v>
      </c>
      <c r="AD29" s="323"/>
      <c r="AE29" s="1328"/>
      <c r="AF29" s="324">
        <f>ROUND(SUM(E29:AC29),1)</f>
        <v>0</v>
      </c>
      <c r="AG29" s="2412"/>
      <c r="AH29" s="266"/>
      <c r="AI29" s="323">
        <v>0</v>
      </c>
      <c r="AJ29" s="324"/>
      <c r="AK29" s="2409"/>
      <c r="AL29" s="324">
        <f t="shared" si="0"/>
        <v>0</v>
      </c>
      <c r="AM29" s="672"/>
      <c r="AN29" s="45">
        <f t="shared" si="1"/>
        <v>0</v>
      </c>
    </row>
    <row r="30" spans="1:40" ht="15.75">
      <c r="A30" s="227"/>
      <c r="B30" s="1979" t="s">
        <v>1448</v>
      </c>
      <c r="C30" s="227"/>
      <c r="D30" s="312"/>
      <c r="E30" s="2406">
        <v>0</v>
      </c>
      <c r="F30" s="323"/>
      <c r="G30" s="2406">
        <v>0</v>
      </c>
      <c r="H30" s="323"/>
      <c r="I30" s="2406">
        <v>0</v>
      </c>
      <c r="J30" s="323"/>
      <c r="K30" s="2406">
        <v>0</v>
      </c>
      <c r="L30" s="265"/>
      <c r="M30" s="2406">
        <v>0</v>
      </c>
      <c r="N30" s="265"/>
      <c r="O30" s="2406">
        <v>0</v>
      </c>
      <c r="P30" s="265"/>
      <c r="Q30" s="522">
        <v>0</v>
      </c>
      <c r="R30" s="265"/>
      <c r="S30" s="522"/>
      <c r="T30" s="265"/>
      <c r="U30" s="522"/>
      <c r="V30" s="265"/>
      <c r="W30" s="522"/>
      <c r="X30" s="265"/>
      <c r="Y30" s="522"/>
      <c r="Z30" s="265"/>
      <c r="AA30" s="2406"/>
      <c r="AB30" s="2406"/>
      <c r="AC30" s="1245">
        <v>0</v>
      </c>
      <c r="AD30" s="323"/>
      <c r="AE30" s="1328"/>
      <c r="AF30" s="324">
        <f>ROUND(SUM(E30:AC30),1)</f>
        <v>0</v>
      </c>
      <c r="AG30" s="2412"/>
      <c r="AH30" s="266"/>
      <c r="AI30" s="323">
        <v>0</v>
      </c>
      <c r="AJ30" s="324"/>
      <c r="AK30" s="2409"/>
      <c r="AL30" s="324">
        <f t="shared" si="0"/>
        <v>0</v>
      </c>
      <c r="AM30" s="672"/>
      <c r="AN30" s="45">
        <f t="shared" si="1"/>
        <v>0</v>
      </c>
    </row>
    <row r="31" spans="1:40" ht="15.75">
      <c r="A31" s="227"/>
      <c r="B31" s="1979" t="s">
        <v>1449</v>
      </c>
      <c r="C31" s="227"/>
      <c r="D31" s="312"/>
      <c r="E31" s="2406">
        <v>0.1</v>
      </c>
      <c r="F31" s="323"/>
      <c r="G31" s="2406">
        <v>0</v>
      </c>
      <c r="H31" s="323"/>
      <c r="I31" s="2406">
        <v>0.1</v>
      </c>
      <c r="J31" s="323"/>
      <c r="K31" s="2406">
        <v>0</v>
      </c>
      <c r="L31" s="265"/>
      <c r="M31" s="2406">
        <v>0.1</v>
      </c>
      <c r="N31" s="265"/>
      <c r="O31" s="522">
        <v>0</v>
      </c>
      <c r="P31" s="265"/>
      <c r="Q31" s="522">
        <v>0.4</v>
      </c>
      <c r="R31" s="265"/>
      <c r="S31" s="522"/>
      <c r="T31" s="265"/>
      <c r="U31" s="522"/>
      <c r="V31" s="265"/>
      <c r="W31" s="522"/>
      <c r="X31" s="265"/>
      <c r="Y31" s="522"/>
      <c r="Z31" s="265"/>
      <c r="AA31" s="2406"/>
      <c r="AB31" s="2406"/>
      <c r="AC31" s="1245">
        <v>0</v>
      </c>
      <c r="AD31" s="323"/>
      <c r="AE31" s="1328"/>
      <c r="AF31" s="324">
        <f>ROUND(SUM(E31:AC31),1)</f>
        <v>0.7</v>
      </c>
      <c r="AG31" s="2412"/>
      <c r="AH31" s="266"/>
      <c r="AI31" s="323">
        <v>0.6</v>
      </c>
      <c r="AJ31" s="324"/>
      <c r="AK31" s="2409"/>
      <c r="AL31" s="324">
        <f t="shared" si="0"/>
        <v>0.1</v>
      </c>
      <c r="AM31" s="672"/>
      <c r="AN31" s="45">
        <f t="shared" si="1"/>
        <v>0.16700000000000001</v>
      </c>
    </row>
    <row r="32" spans="1:40" ht="15.75">
      <c r="A32" s="227"/>
      <c r="B32" s="1979" t="s">
        <v>1566</v>
      </c>
      <c r="C32" s="227"/>
      <c r="D32" s="312"/>
      <c r="E32" s="2406"/>
      <c r="F32" s="323"/>
      <c r="G32" s="2406"/>
      <c r="H32" s="323"/>
      <c r="I32" s="2406"/>
      <c r="J32" s="323"/>
      <c r="K32" s="2406"/>
      <c r="L32" s="265"/>
      <c r="M32" s="2406"/>
      <c r="N32" s="265"/>
      <c r="O32" s="522"/>
      <c r="P32" s="265"/>
      <c r="Q32" s="522"/>
      <c r="R32" s="265"/>
      <c r="S32" s="522"/>
      <c r="T32" s="265"/>
      <c r="U32" s="522"/>
      <c r="V32" s="265"/>
      <c r="W32" s="522"/>
      <c r="X32" s="265"/>
      <c r="Y32" s="522"/>
      <c r="Z32" s="265"/>
      <c r="AA32" s="2406"/>
      <c r="AB32" s="2406"/>
      <c r="AC32" s="2406"/>
      <c r="AD32" s="323"/>
      <c r="AE32" s="1328"/>
      <c r="AF32" s="324"/>
      <c r="AG32" s="2412"/>
      <c r="AH32" s="266"/>
      <c r="AI32" s="323"/>
      <c r="AJ32" s="324"/>
      <c r="AK32" s="2409"/>
      <c r="AL32" s="1400" t="s">
        <v>16</v>
      </c>
      <c r="AM32" s="672"/>
      <c r="AN32" s="2040" t="s">
        <v>16</v>
      </c>
    </row>
    <row r="33" spans="1:41" ht="15.75">
      <c r="A33" s="227"/>
      <c r="B33" s="1979" t="s">
        <v>1479</v>
      </c>
      <c r="C33" s="227"/>
      <c r="D33" s="312"/>
      <c r="E33" s="2406">
        <v>0</v>
      </c>
      <c r="F33" s="323"/>
      <c r="G33" s="2406">
        <v>0</v>
      </c>
      <c r="H33" s="323"/>
      <c r="I33" s="2406">
        <v>0</v>
      </c>
      <c r="J33" s="323"/>
      <c r="K33" s="2406">
        <v>0</v>
      </c>
      <c r="L33" s="265"/>
      <c r="M33" s="2406">
        <v>0</v>
      </c>
      <c r="N33" s="265"/>
      <c r="O33" s="522">
        <v>0</v>
      </c>
      <c r="P33" s="265"/>
      <c r="Q33" s="522">
        <v>0</v>
      </c>
      <c r="R33" s="265"/>
      <c r="S33" s="522"/>
      <c r="T33" s="265"/>
      <c r="U33" s="522"/>
      <c r="V33" s="265"/>
      <c r="W33" s="522"/>
      <c r="X33" s="265"/>
      <c r="Y33" s="522"/>
      <c r="Z33" s="265"/>
      <c r="AA33" s="2406"/>
      <c r="AB33" s="2406"/>
      <c r="AC33" s="1245">
        <v>0</v>
      </c>
      <c r="AD33" s="323"/>
      <c r="AE33" s="1328"/>
      <c r="AF33" s="324">
        <f>ROUND(SUM(E33:AC33),1)</f>
        <v>0</v>
      </c>
      <c r="AG33" s="2412"/>
      <c r="AH33" s="266"/>
      <c r="AI33" s="323">
        <v>0</v>
      </c>
      <c r="AJ33" s="324"/>
      <c r="AK33" s="2409"/>
      <c r="AL33" s="324">
        <f t="shared" si="0"/>
        <v>0</v>
      </c>
      <c r="AM33" s="672"/>
      <c r="AN33" s="45">
        <f t="shared" si="1"/>
        <v>0</v>
      </c>
    </row>
    <row r="34" spans="1:41" ht="15.75">
      <c r="A34" s="227"/>
      <c r="B34" s="1979" t="s">
        <v>1481</v>
      </c>
      <c r="C34" s="227"/>
      <c r="D34" s="312"/>
      <c r="E34" s="2406">
        <v>0</v>
      </c>
      <c r="F34" s="323"/>
      <c r="G34" s="2406">
        <v>0</v>
      </c>
      <c r="H34" s="323"/>
      <c r="I34" s="2406">
        <v>0</v>
      </c>
      <c r="J34" s="323"/>
      <c r="K34" s="2406">
        <v>0</v>
      </c>
      <c r="L34" s="265"/>
      <c r="M34" s="2406">
        <v>0</v>
      </c>
      <c r="N34" s="265"/>
      <c r="O34" s="522">
        <v>0</v>
      </c>
      <c r="P34" s="265"/>
      <c r="Q34" s="522">
        <v>0</v>
      </c>
      <c r="R34" s="265"/>
      <c r="S34" s="522"/>
      <c r="T34" s="265"/>
      <c r="U34" s="522"/>
      <c r="V34" s="265"/>
      <c r="W34" s="522"/>
      <c r="X34" s="265"/>
      <c r="Y34" s="522"/>
      <c r="Z34" s="265"/>
      <c r="AA34" s="2406"/>
      <c r="AB34" s="2406"/>
      <c r="AC34" s="1245">
        <v>0</v>
      </c>
      <c r="AD34" s="323"/>
      <c r="AE34" s="1328"/>
      <c r="AF34" s="324">
        <f>ROUND(SUM(E34:AC34),1)</f>
        <v>0</v>
      </c>
      <c r="AG34" s="2412"/>
      <c r="AH34" s="266"/>
      <c r="AI34" s="323">
        <v>0</v>
      </c>
      <c r="AJ34" s="324"/>
      <c r="AK34" s="2409"/>
      <c r="AL34" s="324">
        <f t="shared" si="0"/>
        <v>0</v>
      </c>
      <c r="AM34" s="672"/>
      <c r="AN34" s="45">
        <f t="shared" si="1"/>
        <v>0</v>
      </c>
    </row>
    <row r="35" spans="1:41" ht="15.75">
      <c r="A35" s="227"/>
      <c r="B35" s="1979" t="s">
        <v>1485</v>
      </c>
      <c r="C35" s="227"/>
      <c r="D35" s="312"/>
      <c r="E35" s="2406">
        <v>0</v>
      </c>
      <c r="F35" s="323"/>
      <c r="G35" s="2406">
        <v>0</v>
      </c>
      <c r="H35" s="323"/>
      <c r="I35" s="2406">
        <v>0</v>
      </c>
      <c r="J35" s="323"/>
      <c r="K35" s="2406">
        <v>0</v>
      </c>
      <c r="L35" s="265"/>
      <c r="M35" s="2406">
        <v>0</v>
      </c>
      <c r="N35" s="265"/>
      <c r="O35" s="522">
        <v>0</v>
      </c>
      <c r="P35" s="265"/>
      <c r="Q35" s="522">
        <v>0</v>
      </c>
      <c r="R35" s="265"/>
      <c r="S35" s="522"/>
      <c r="T35" s="265"/>
      <c r="U35" s="522"/>
      <c r="V35" s="265"/>
      <c r="W35" s="522"/>
      <c r="X35" s="265"/>
      <c r="Y35" s="522"/>
      <c r="Z35" s="265"/>
      <c r="AA35" s="2406"/>
      <c r="AB35" s="2406"/>
      <c r="AC35" s="1245">
        <v>0</v>
      </c>
      <c r="AD35" s="323"/>
      <c r="AE35" s="1328"/>
      <c r="AF35" s="324">
        <f>ROUND(SUM(E35:AC35),1)</f>
        <v>0</v>
      </c>
      <c r="AG35" s="2412"/>
      <c r="AH35" s="266"/>
      <c r="AI35" s="323">
        <v>0</v>
      </c>
      <c r="AJ35" s="324"/>
      <c r="AK35" s="2409"/>
      <c r="AL35" s="324">
        <f t="shared" si="0"/>
        <v>0</v>
      </c>
      <c r="AM35" s="672"/>
      <c r="AN35" s="45">
        <f t="shared" si="1"/>
        <v>0</v>
      </c>
    </row>
    <row r="36" spans="1:41" ht="15.75">
      <c r="A36" s="227"/>
      <c r="B36" s="1979" t="s">
        <v>1487</v>
      </c>
      <c r="C36" s="227"/>
      <c r="D36" s="312"/>
      <c r="E36" s="2406">
        <v>0</v>
      </c>
      <c r="F36" s="323"/>
      <c r="G36" s="2406">
        <v>0</v>
      </c>
      <c r="H36" s="323"/>
      <c r="I36" s="2406">
        <v>0</v>
      </c>
      <c r="J36" s="323"/>
      <c r="K36" s="2406">
        <v>0</v>
      </c>
      <c r="L36" s="265"/>
      <c r="M36" s="2406">
        <v>0</v>
      </c>
      <c r="N36" s="265"/>
      <c r="O36" s="522">
        <v>0</v>
      </c>
      <c r="P36" s="265"/>
      <c r="Q36" s="522">
        <v>0</v>
      </c>
      <c r="R36" s="265"/>
      <c r="S36" s="522"/>
      <c r="T36" s="265"/>
      <c r="U36" s="522"/>
      <c r="V36" s="265"/>
      <c r="W36" s="522"/>
      <c r="X36" s="265"/>
      <c r="Y36" s="522"/>
      <c r="Z36" s="265"/>
      <c r="AA36" s="2406"/>
      <c r="AB36" s="2406"/>
      <c r="AC36" s="1245">
        <v>0</v>
      </c>
      <c r="AD36" s="323"/>
      <c r="AE36" s="1328"/>
      <c r="AF36" s="324">
        <f>ROUND(SUM(E36:AC36),1)</f>
        <v>0</v>
      </c>
      <c r="AG36" s="2412"/>
      <c r="AH36" s="266"/>
      <c r="AI36" s="323">
        <v>0.5</v>
      </c>
      <c r="AJ36" s="324"/>
      <c r="AK36" s="2409"/>
      <c r="AL36" s="324">
        <f t="shared" si="0"/>
        <v>-0.5</v>
      </c>
      <c r="AM36" s="672"/>
      <c r="AN36" s="45">
        <f t="shared" si="1"/>
        <v>-1</v>
      </c>
    </row>
    <row r="37" spans="1:41" ht="15.75">
      <c r="A37" s="227"/>
      <c r="B37" s="1979" t="s">
        <v>1459</v>
      </c>
      <c r="C37" s="227"/>
      <c r="D37" s="312"/>
      <c r="E37" s="2406">
        <v>0</v>
      </c>
      <c r="F37" s="323"/>
      <c r="G37" s="2406">
        <v>0</v>
      </c>
      <c r="H37" s="323"/>
      <c r="I37" s="2406">
        <v>0</v>
      </c>
      <c r="J37" s="323"/>
      <c r="K37" s="2406">
        <v>0</v>
      </c>
      <c r="L37" s="265"/>
      <c r="M37" s="2406">
        <v>0</v>
      </c>
      <c r="N37" s="265"/>
      <c r="O37" s="522">
        <v>0.1</v>
      </c>
      <c r="P37" s="265"/>
      <c r="Q37" s="522">
        <v>0.1</v>
      </c>
      <c r="R37" s="265"/>
      <c r="S37" s="522"/>
      <c r="T37" s="265"/>
      <c r="U37" s="522"/>
      <c r="V37" s="265"/>
      <c r="W37" s="522"/>
      <c r="X37" s="265"/>
      <c r="Y37" s="522"/>
      <c r="Z37" s="265"/>
      <c r="AA37" s="2406"/>
      <c r="AB37" s="2406"/>
      <c r="AC37" s="1245">
        <v>0</v>
      </c>
      <c r="AD37" s="323"/>
      <c r="AE37" s="1328"/>
      <c r="AF37" s="324">
        <f>ROUND(SUM(E37:AC37),1)</f>
        <v>0.2</v>
      </c>
      <c r="AG37" s="2412"/>
      <c r="AH37" s="266"/>
      <c r="AI37" s="323">
        <v>0.1</v>
      </c>
      <c r="AJ37" s="324"/>
      <c r="AK37" s="2409"/>
      <c r="AL37" s="324">
        <f t="shared" si="0"/>
        <v>0.1</v>
      </c>
      <c r="AM37" s="672"/>
      <c r="AN37" s="3234">
        <f>ROUND(IF(AI37=0,0,AL37/(AI37)),3)</f>
        <v>1</v>
      </c>
    </row>
    <row r="38" spans="1:41" s="667" customFormat="1" ht="15.75" collapsed="1">
      <c r="A38" s="225"/>
      <c r="B38" s="594" t="s">
        <v>1499</v>
      </c>
      <c r="C38" s="225"/>
      <c r="D38" s="310"/>
      <c r="E38" s="1327">
        <f>ROUND(SUM(E18:E37),1)</f>
        <v>0.1</v>
      </c>
      <c r="F38" s="317"/>
      <c r="G38" s="1327">
        <f>ROUND(SUM(G18:G37),1)</f>
        <v>0</v>
      </c>
      <c r="H38" s="2432"/>
      <c r="I38" s="1327">
        <f>ROUND(SUM(I18:I37),1)</f>
        <v>0.1</v>
      </c>
      <c r="J38" s="317"/>
      <c r="K38" s="1327">
        <f>ROUND(SUM(K18:K37),1)</f>
        <v>0</v>
      </c>
      <c r="L38" s="2154"/>
      <c r="M38" s="1327">
        <f>ROUND(SUM(M18:M37),1)</f>
        <v>0.1</v>
      </c>
      <c r="N38" s="2154"/>
      <c r="O38" s="1327">
        <f>ROUND(SUM(O18:O37),1)</f>
        <v>0.1</v>
      </c>
      <c r="P38" s="2154"/>
      <c r="Q38" s="1327">
        <f>ROUND(SUM(Q18:Q37),1)</f>
        <v>0.5</v>
      </c>
      <c r="R38" s="2154"/>
      <c r="S38" s="1327">
        <f>ROUND(SUM(S18:S37),1)</f>
        <v>0</v>
      </c>
      <c r="T38" s="2154"/>
      <c r="U38" s="1327">
        <f>ROUND(SUM(U18:U37),1)</f>
        <v>0</v>
      </c>
      <c r="V38" s="2154"/>
      <c r="W38" s="1327">
        <f>ROUND(SUM(W18:W37),1)</f>
        <v>0</v>
      </c>
      <c r="X38" s="2154"/>
      <c r="Y38" s="1327">
        <f>ROUND(SUM(Y18:Y37),1)</f>
        <v>0</v>
      </c>
      <c r="Z38" s="2154"/>
      <c r="AA38" s="1327">
        <f>ROUND(SUM(AA18:AA37),1)</f>
        <v>0</v>
      </c>
      <c r="AB38" s="320"/>
      <c r="AC38" s="1327">
        <f>ROUND(SUM(AC18:AC37),1)</f>
        <v>0</v>
      </c>
      <c r="AD38" s="317"/>
      <c r="AE38" s="1329"/>
      <c r="AF38" s="1327">
        <f>ROUND(SUM(AF18:AF37),1)</f>
        <v>0.9</v>
      </c>
      <c r="AG38" s="2413"/>
      <c r="AH38" s="320"/>
      <c r="AI38" s="1327">
        <f>ROUND(SUM(AI18:AI37),1)</f>
        <v>1.2</v>
      </c>
      <c r="AJ38" s="2457"/>
      <c r="AK38" s="2409"/>
      <c r="AL38" s="1327">
        <f>ROUND(SUM(AL18:AL37),1)</f>
        <v>-0.3</v>
      </c>
      <c r="AM38" s="2369"/>
      <c r="AN38" s="74">
        <f t="shared" si="1"/>
        <v>-0.25</v>
      </c>
    </row>
    <row r="39" spans="1:41" s="696" customFormat="1" ht="15.75">
      <c r="A39" s="265"/>
      <c r="B39" s="2347"/>
      <c r="C39" s="265"/>
      <c r="D39" s="323"/>
      <c r="E39" s="2406"/>
      <c r="F39" s="323"/>
      <c r="G39" s="703"/>
      <c r="H39" s="323"/>
      <c r="I39" s="2406"/>
      <c r="J39" s="323"/>
      <c r="K39" s="703"/>
      <c r="L39" s="265"/>
      <c r="M39" s="522"/>
      <c r="N39" s="265"/>
      <c r="O39" s="521"/>
      <c r="P39" s="265"/>
      <c r="Q39" s="522"/>
      <c r="R39" s="265"/>
      <c r="S39" s="521"/>
      <c r="T39" s="265"/>
      <c r="U39" s="521"/>
      <c r="V39" s="265"/>
      <c r="W39" s="522"/>
      <c r="X39" s="265"/>
      <c r="Y39" s="522"/>
      <c r="Z39" s="265"/>
      <c r="AA39" s="2406"/>
      <c r="AB39" s="2406"/>
      <c r="AC39" s="2406"/>
      <c r="AD39" s="323"/>
      <c r="AE39" s="1328"/>
      <c r="AF39" s="324"/>
      <c r="AG39" s="2408"/>
      <c r="AH39" s="1328"/>
      <c r="AI39" s="2406"/>
      <c r="AJ39" s="324"/>
      <c r="AK39" s="2409"/>
      <c r="AL39" s="704"/>
      <c r="AM39" s="255"/>
      <c r="AN39" s="670"/>
      <c r="AO39" s="255"/>
    </row>
    <row r="40" spans="1:41" ht="15.75">
      <c r="A40" s="227"/>
      <c r="B40" s="227" t="s">
        <v>157</v>
      </c>
      <c r="C40" s="227"/>
      <c r="D40" s="312"/>
      <c r="E40" s="323">
        <v>111.6</v>
      </c>
      <c r="F40" s="323"/>
      <c r="G40" s="2406">
        <v>128.6</v>
      </c>
      <c r="H40" s="323"/>
      <c r="I40" s="2406">
        <v>108.8</v>
      </c>
      <c r="J40" s="323"/>
      <c r="K40" s="2406">
        <v>224.4</v>
      </c>
      <c r="L40" s="265"/>
      <c r="M40" s="522">
        <v>151.80000000000001</v>
      </c>
      <c r="N40" s="265"/>
      <c r="O40" s="521">
        <v>205.1</v>
      </c>
      <c r="P40" s="265"/>
      <c r="Q40" s="522">
        <v>171.6</v>
      </c>
      <c r="R40" s="265"/>
      <c r="S40" s="521"/>
      <c r="T40" s="265"/>
      <c r="U40" s="265"/>
      <c r="V40" s="265"/>
      <c r="W40" s="265"/>
      <c r="X40" s="265"/>
      <c r="Y40" s="522"/>
      <c r="Z40" s="265"/>
      <c r="AA40" s="323"/>
      <c r="AB40" s="323"/>
      <c r="AC40" s="323">
        <v>0</v>
      </c>
      <c r="AD40" s="323"/>
      <c r="AE40" s="1328"/>
      <c r="AF40" s="324">
        <f>ROUND(SUM(E40:AC40),1)</f>
        <v>1101.9000000000001</v>
      </c>
      <c r="AG40" s="2408"/>
      <c r="AH40" s="1328"/>
      <c r="AI40" s="323">
        <v>1466.8</v>
      </c>
      <c r="AJ40" s="324"/>
      <c r="AK40" s="2453"/>
      <c r="AL40" s="2476">
        <f>ROUND(AF40-AI40,1)</f>
        <v>-364.9</v>
      </c>
      <c r="AM40" s="672"/>
      <c r="AN40" s="2004">
        <f>ROUND(IF(AI40=0,0,AL40/(AI40)),3)</f>
        <v>-0.249</v>
      </c>
    </row>
    <row r="41" spans="1:41" ht="15.75">
      <c r="A41" s="227"/>
      <c r="B41" s="227"/>
      <c r="C41" s="227"/>
      <c r="D41" s="312"/>
      <c r="E41" s="332"/>
      <c r="F41" s="323"/>
      <c r="G41" s="332"/>
      <c r="H41" s="323"/>
      <c r="I41" s="332"/>
      <c r="J41" s="323"/>
      <c r="K41" s="332"/>
      <c r="L41" s="265"/>
      <c r="M41" s="293"/>
      <c r="N41" s="265"/>
      <c r="O41" s="293"/>
      <c r="P41" s="265"/>
      <c r="Q41" s="293"/>
      <c r="R41" s="265"/>
      <c r="S41" s="293"/>
      <c r="T41" s="265"/>
      <c r="U41" s="293"/>
      <c r="V41" s="265"/>
      <c r="W41" s="293"/>
      <c r="X41" s="265"/>
      <c r="Y41" s="293"/>
      <c r="Z41" s="265"/>
      <c r="AA41" s="332"/>
      <c r="AB41" s="266"/>
      <c r="AC41" s="332"/>
      <c r="AD41" s="323"/>
      <c r="AE41" s="1328"/>
      <c r="AF41" s="332"/>
      <c r="AG41" s="2408"/>
      <c r="AH41" s="1328"/>
      <c r="AI41" s="332"/>
      <c r="AJ41" s="266"/>
      <c r="AK41" s="2453"/>
      <c r="AL41" s="704"/>
      <c r="AM41" s="662"/>
      <c r="AN41" s="670"/>
    </row>
    <row r="42" spans="1:41" ht="15.75">
      <c r="A42" s="227"/>
      <c r="B42" s="225" t="s">
        <v>208</v>
      </c>
      <c r="C42" s="227"/>
      <c r="D42" s="312"/>
      <c r="E42" s="317">
        <f>ROUND(SUM(E38+E40),1)</f>
        <v>111.7</v>
      </c>
      <c r="F42" s="317"/>
      <c r="G42" s="317">
        <f>ROUND(SUM(G38+G40),1)</f>
        <v>128.6</v>
      </c>
      <c r="H42" s="317"/>
      <c r="I42" s="317">
        <f>ROUND(SUM(I38+I40),1)</f>
        <v>108.9</v>
      </c>
      <c r="J42" s="317"/>
      <c r="K42" s="317">
        <f>ROUND(SUM(K38+K40),1)</f>
        <v>224.4</v>
      </c>
      <c r="L42" s="261"/>
      <c r="M42" s="2154">
        <f>ROUND(SUM(M38+M40),1)</f>
        <v>151.9</v>
      </c>
      <c r="N42" s="261"/>
      <c r="O42" s="2154">
        <f>ROUND(SUM(O38+O40),1)</f>
        <v>205.2</v>
      </c>
      <c r="P42" s="261"/>
      <c r="Q42" s="2154">
        <f>ROUND(SUM(Q38+Q40),1)</f>
        <v>172.1</v>
      </c>
      <c r="R42" s="261"/>
      <c r="S42" s="2154">
        <f>ROUND(SUM(S38+S40),1)</f>
        <v>0</v>
      </c>
      <c r="T42" s="261"/>
      <c r="U42" s="2154">
        <f>ROUND(SUM(U38+U40),1)</f>
        <v>0</v>
      </c>
      <c r="V42" s="261"/>
      <c r="W42" s="2154">
        <f>ROUND(SUM(W38+W40),1)</f>
        <v>0</v>
      </c>
      <c r="X42" s="261"/>
      <c r="Y42" s="2154">
        <f>ROUND(SUM(Y38+Y40),1)</f>
        <v>0</v>
      </c>
      <c r="Z42" s="261"/>
      <c r="AA42" s="317">
        <f>ROUND(SUM(AA38+AA40),1)</f>
        <v>0</v>
      </c>
      <c r="AB42" s="317"/>
      <c r="AC42" s="317">
        <f>ROUND(SUM(AC38+AC40),1)</f>
        <v>0</v>
      </c>
      <c r="AD42" s="317"/>
      <c r="AE42" s="1329"/>
      <c r="AF42" s="317">
        <f>ROUND(SUM(AF38+AF40),1)</f>
        <v>1102.8</v>
      </c>
      <c r="AG42" s="2413"/>
      <c r="AH42" s="1329"/>
      <c r="AI42" s="317">
        <f>ROUND(SUM(AI38+AI40),1)</f>
        <v>1468</v>
      </c>
      <c r="AJ42" s="2457"/>
      <c r="AK42" s="2453"/>
      <c r="AL42" s="2460">
        <f>ROUND(SUM(AL38+AL40),1)</f>
        <v>-365.2</v>
      </c>
      <c r="AM42" s="373"/>
      <c r="AN42" s="560">
        <f>ROUND(SUM(AF42-AI42)/AI42,3)</f>
        <v>-0.249</v>
      </c>
      <c r="AO42" s="667"/>
    </row>
    <row r="43" spans="1:41" ht="15.75">
      <c r="A43" s="227"/>
      <c r="B43" s="227"/>
      <c r="C43" s="227"/>
      <c r="D43" s="312"/>
      <c r="E43" s="332"/>
      <c r="F43" s="323"/>
      <c r="G43" s="332"/>
      <c r="H43" s="323"/>
      <c r="I43" s="332"/>
      <c r="J43" s="323"/>
      <c r="K43" s="332"/>
      <c r="L43" s="265"/>
      <c r="M43" s="293"/>
      <c r="N43" s="265"/>
      <c r="O43" s="293"/>
      <c r="P43" s="265"/>
      <c r="Q43" s="293"/>
      <c r="R43" s="265"/>
      <c r="S43" s="293"/>
      <c r="T43" s="265"/>
      <c r="U43" s="293"/>
      <c r="V43" s="265"/>
      <c r="W43" s="293"/>
      <c r="X43" s="265"/>
      <c r="Y43" s="293"/>
      <c r="Z43" s="265"/>
      <c r="AA43" s="332"/>
      <c r="AB43" s="266"/>
      <c r="AC43" s="332"/>
      <c r="AD43" s="323"/>
      <c r="AE43" s="1328"/>
      <c r="AF43" s="332"/>
      <c r="AG43" s="2408"/>
      <c r="AH43" s="1328"/>
      <c r="AI43" s="332"/>
      <c r="AJ43" s="266"/>
      <c r="AK43" s="2453"/>
      <c r="AL43" s="704"/>
      <c r="AM43" s="662"/>
      <c r="AN43" s="670"/>
    </row>
    <row r="44" spans="1:41" ht="15.75">
      <c r="A44" s="227"/>
      <c r="B44" s="225" t="s">
        <v>24</v>
      </c>
      <c r="C44" s="227"/>
      <c r="D44" s="312"/>
      <c r="E44" s="323"/>
      <c r="F44" s="323"/>
      <c r="G44" s="323"/>
      <c r="H44" s="323"/>
      <c r="I44" s="323"/>
      <c r="J44" s="323"/>
      <c r="K44" s="323"/>
      <c r="L44" s="265"/>
      <c r="M44" s="265"/>
      <c r="N44" s="265"/>
      <c r="O44" s="265"/>
      <c r="P44" s="265"/>
      <c r="Q44" s="265"/>
      <c r="R44" s="265"/>
      <c r="S44" s="265"/>
      <c r="T44" s="265"/>
      <c r="U44" s="265"/>
      <c r="V44" s="265"/>
      <c r="W44" s="265"/>
      <c r="X44" s="265"/>
      <c r="Y44" s="265"/>
      <c r="Z44" s="265"/>
      <c r="AA44" s="323"/>
      <c r="AB44" s="323"/>
      <c r="AC44" s="323"/>
      <c r="AD44" s="323"/>
      <c r="AE44" s="1328"/>
      <c r="AF44" s="323"/>
      <c r="AG44" s="2408"/>
      <c r="AH44" s="1328"/>
      <c r="AI44" s="323"/>
      <c r="AJ44" s="323"/>
      <c r="AK44" s="2453"/>
      <c r="AL44" s="704"/>
      <c r="AM44" s="662"/>
      <c r="AN44" s="670"/>
    </row>
    <row r="45" spans="1:41" ht="15.75">
      <c r="A45" s="227"/>
      <c r="B45" s="227" t="s">
        <v>159</v>
      </c>
      <c r="C45" s="227"/>
      <c r="D45" s="312"/>
      <c r="E45" s="2406"/>
      <c r="F45" s="323"/>
      <c r="G45" s="323"/>
      <c r="H45" s="323"/>
      <c r="I45" s="323"/>
      <c r="J45" s="323"/>
      <c r="K45" s="323"/>
      <c r="L45" s="265"/>
      <c r="M45" s="265"/>
      <c r="N45" s="265"/>
      <c r="O45" s="265"/>
      <c r="P45" s="265"/>
      <c r="Q45" s="522"/>
      <c r="R45" s="265"/>
      <c r="S45" s="265"/>
      <c r="T45" s="265"/>
      <c r="U45" s="278"/>
      <c r="V45" s="265"/>
      <c r="W45" s="265"/>
      <c r="X45" s="265"/>
      <c r="Y45" s="265"/>
      <c r="Z45" s="265"/>
      <c r="AA45" s="323"/>
      <c r="AB45" s="323"/>
      <c r="AC45" s="323"/>
      <c r="AD45" s="323"/>
      <c r="AE45" s="1328"/>
      <c r="AF45" s="2406"/>
      <c r="AG45" s="2408"/>
      <c r="AH45" s="1328"/>
      <c r="AI45" s="323"/>
      <c r="AJ45" s="323"/>
      <c r="AK45" s="2453"/>
      <c r="AL45" s="704"/>
      <c r="AM45" s="672"/>
      <c r="AN45" s="670"/>
    </row>
    <row r="46" spans="1:41" ht="15.75">
      <c r="A46" s="227"/>
      <c r="B46" s="227" t="s">
        <v>26</v>
      </c>
      <c r="C46" s="227"/>
      <c r="D46" s="312"/>
      <c r="E46" s="703">
        <v>0</v>
      </c>
      <c r="F46" s="323"/>
      <c r="G46" s="703">
        <v>0</v>
      </c>
      <c r="H46" s="323"/>
      <c r="I46" s="703">
        <v>0</v>
      </c>
      <c r="J46" s="323"/>
      <c r="K46" s="703">
        <v>0</v>
      </c>
      <c r="L46" s="265"/>
      <c r="M46" s="377">
        <v>0</v>
      </c>
      <c r="N46" s="265"/>
      <c r="O46" s="377">
        <v>0</v>
      </c>
      <c r="P46" s="265"/>
      <c r="Q46" s="377">
        <v>0</v>
      </c>
      <c r="R46" s="265"/>
      <c r="S46" s="377"/>
      <c r="T46" s="265"/>
      <c r="U46" s="377"/>
      <c r="V46" s="265"/>
      <c r="W46" s="377"/>
      <c r="X46" s="265"/>
      <c r="Y46" s="377"/>
      <c r="Z46" s="265"/>
      <c r="AA46" s="703"/>
      <c r="AB46" s="703"/>
      <c r="AC46" s="1245">
        <v>0</v>
      </c>
      <c r="AD46" s="323"/>
      <c r="AE46" s="1328"/>
      <c r="AF46" s="324">
        <f>ROUND(SUM(E46:AC46),1)</f>
        <v>0</v>
      </c>
      <c r="AG46" s="2408"/>
      <c r="AH46" s="1328"/>
      <c r="AI46" s="703">
        <v>0</v>
      </c>
      <c r="AJ46" s="324"/>
      <c r="AK46" s="2409"/>
      <c r="AL46" s="2477">
        <f>ROUND(AF46-AI46,1)</f>
        <v>0</v>
      </c>
      <c r="AM46" s="672"/>
      <c r="AN46" s="45">
        <f>ROUND(IF(AI46=0,0,AL46/(AI46)),3)</f>
        <v>0</v>
      </c>
    </row>
    <row r="47" spans="1:41" ht="15.75">
      <c r="A47" s="227"/>
      <c r="B47" s="227" t="s">
        <v>27</v>
      </c>
      <c r="C47" s="227"/>
      <c r="D47" s="312"/>
      <c r="E47" s="2472">
        <v>0</v>
      </c>
      <c r="F47" s="323"/>
      <c r="G47" s="703">
        <v>0</v>
      </c>
      <c r="H47" s="323"/>
      <c r="I47" s="2406">
        <v>0</v>
      </c>
      <c r="J47" s="323"/>
      <c r="K47" s="703">
        <v>0</v>
      </c>
      <c r="L47" s="265"/>
      <c r="M47" s="521">
        <v>0</v>
      </c>
      <c r="N47" s="265"/>
      <c r="O47" s="521">
        <v>0</v>
      </c>
      <c r="P47" s="265"/>
      <c r="Q47" s="521">
        <v>0</v>
      </c>
      <c r="R47" s="265"/>
      <c r="S47" s="377"/>
      <c r="T47" s="265"/>
      <c r="U47" s="521"/>
      <c r="V47" s="265"/>
      <c r="W47" s="377"/>
      <c r="X47" s="265"/>
      <c r="Y47" s="377"/>
      <c r="Z47" s="265"/>
      <c r="AA47" s="703"/>
      <c r="AB47" s="703"/>
      <c r="AC47" s="1245">
        <v>0</v>
      </c>
      <c r="AD47" s="323"/>
      <c r="AE47" s="1328"/>
      <c r="AF47" s="324">
        <f>ROUND(SUM(E47:AC47),1)</f>
        <v>0</v>
      </c>
      <c r="AG47" s="2408"/>
      <c r="AH47" s="1328"/>
      <c r="AI47" s="2472">
        <v>147.6</v>
      </c>
      <c r="AJ47" s="324"/>
      <c r="AK47" s="2409"/>
      <c r="AL47" s="2477">
        <f>ROUND(AF47-AI47,1)</f>
        <v>-147.6</v>
      </c>
      <c r="AM47" s="672"/>
      <c r="AN47" s="45">
        <f>ROUND(IF(AI47=0,0,AL47/(AI47)),3)</f>
        <v>-1</v>
      </c>
    </row>
    <row r="48" spans="1:41" ht="15.75">
      <c r="A48" s="227"/>
      <c r="B48" s="227" t="s">
        <v>28</v>
      </c>
      <c r="C48" s="227"/>
      <c r="D48" s="312"/>
      <c r="E48" s="703">
        <v>0</v>
      </c>
      <c r="F48" s="323"/>
      <c r="G48" s="703">
        <v>0</v>
      </c>
      <c r="H48" s="323"/>
      <c r="I48" s="703">
        <v>0</v>
      </c>
      <c r="J48" s="323"/>
      <c r="K48" s="703">
        <v>0</v>
      </c>
      <c r="L48" s="265"/>
      <c r="M48" s="377">
        <v>0</v>
      </c>
      <c r="N48" s="265"/>
      <c r="O48" s="377">
        <v>0</v>
      </c>
      <c r="P48" s="265"/>
      <c r="Q48" s="377">
        <v>0</v>
      </c>
      <c r="R48" s="265"/>
      <c r="S48" s="377"/>
      <c r="T48" s="265"/>
      <c r="U48" s="377"/>
      <c r="V48" s="265"/>
      <c r="W48" s="377"/>
      <c r="X48" s="265"/>
      <c r="Y48" s="377"/>
      <c r="Z48" s="265"/>
      <c r="AA48" s="323"/>
      <c r="AB48" s="323"/>
      <c r="AC48" s="1245">
        <v>0</v>
      </c>
      <c r="AD48" s="323"/>
      <c r="AE48" s="1328"/>
      <c r="AF48" s="324">
        <f>ROUND(SUM(E48:AC48),1)</f>
        <v>0</v>
      </c>
      <c r="AG48" s="2408"/>
      <c r="AH48" s="1328"/>
      <c r="AI48" s="703">
        <v>0</v>
      </c>
      <c r="AJ48" s="324"/>
      <c r="AK48" s="2409"/>
      <c r="AL48" s="2477">
        <f>ROUND(AF48-AI48,1)</f>
        <v>0</v>
      </c>
      <c r="AM48" s="662"/>
      <c r="AN48" s="45">
        <f>ROUND(IF(AI48=0,0,AL48/(AI48)),3)</f>
        <v>0</v>
      </c>
    </row>
    <row r="49" spans="1:43" ht="15.75">
      <c r="A49" s="227"/>
      <c r="B49" s="227" t="s">
        <v>29</v>
      </c>
      <c r="C49" s="227"/>
      <c r="D49" s="312"/>
      <c r="E49" s="703"/>
      <c r="F49" s="323"/>
      <c r="G49" s="703"/>
      <c r="H49" s="323"/>
      <c r="I49" s="703"/>
      <c r="J49" s="323"/>
      <c r="K49" s="703"/>
      <c r="L49" s="265"/>
      <c r="M49" s="377"/>
      <c r="N49" s="265"/>
      <c r="O49" s="377"/>
      <c r="P49" s="265"/>
      <c r="Q49" s="377"/>
      <c r="R49" s="265"/>
      <c r="S49" s="377"/>
      <c r="T49" s="265"/>
      <c r="U49" s="521"/>
      <c r="V49" s="265"/>
      <c r="W49" s="377"/>
      <c r="X49" s="265"/>
      <c r="Y49" s="377"/>
      <c r="Z49" s="265"/>
      <c r="AA49" s="703"/>
      <c r="AB49" s="703"/>
      <c r="AC49" s="703"/>
      <c r="AD49" s="323"/>
      <c r="AE49" s="1328"/>
      <c r="AF49" s="324"/>
      <c r="AG49" s="2408"/>
      <c r="AH49" s="1328"/>
      <c r="AI49" s="703"/>
      <c r="AJ49" s="323"/>
      <c r="AK49" s="2453"/>
      <c r="AL49" s="2478" t="s">
        <v>16</v>
      </c>
      <c r="AM49" s="672"/>
      <c r="AN49" s="1218" t="s">
        <v>16</v>
      </c>
    </row>
    <row r="50" spans="1:43" ht="15.75">
      <c r="A50" s="227"/>
      <c r="B50" s="227" t="s">
        <v>30</v>
      </c>
      <c r="C50" s="225"/>
      <c r="D50" s="312"/>
      <c r="E50" s="703">
        <v>0</v>
      </c>
      <c r="F50" s="323"/>
      <c r="G50" s="703">
        <v>0</v>
      </c>
      <c r="H50" s="323"/>
      <c r="I50" s="703">
        <v>0</v>
      </c>
      <c r="J50" s="323"/>
      <c r="K50" s="703">
        <v>0</v>
      </c>
      <c r="L50" s="265"/>
      <c r="M50" s="377">
        <v>0</v>
      </c>
      <c r="N50" s="265"/>
      <c r="O50" s="377">
        <v>0</v>
      </c>
      <c r="P50" s="265"/>
      <c r="Q50" s="377">
        <v>0</v>
      </c>
      <c r="R50" s="265"/>
      <c r="S50" s="377"/>
      <c r="T50" s="265"/>
      <c r="U50" s="377"/>
      <c r="V50" s="265"/>
      <c r="W50" s="377"/>
      <c r="X50" s="265"/>
      <c r="Y50" s="377"/>
      <c r="Z50" s="265"/>
      <c r="AA50" s="323"/>
      <c r="AB50" s="323"/>
      <c r="AC50" s="1245">
        <v>0</v>
      </c>
      <c r="AD50" s="323"/>
      <c r="AE50" s="1328"/>
      <c r="AF50" s="324">
        <f t="shared" ref="AF50:AF55" si="2">ROUND(SUM(E50:AC50),1)</f>
        <v>0</v>
      </c>
      <c r="AG50" s="2408"/>
      <c r="AH50" s="1328"/>
      <c r="AI50" s="703">
        <v>0</v>
      </c>
      <c r="AJ50" s="323"/>
      <c r="AK50" s="2453"/>
      <c r="AL50" s="2477">
        <f t="shared" ref="AL50:AL55" si="3">ROUND(AF50-AI50,1)</f>
        <v>0</v>
      </c>
      <c r="AM50" s="662"/>
      <c r="AN50" s="45">
        <f>ROUND(IF(AI50=0,0,AL50/(AI50)),3)</f>
        <v>0</v>
      </c>
      <c r="AO50" s="662"/>
    </row>
    <row r="51" spans="1:43" ht="15.75">
      <c r="A51" s="227"/>
      <c r="B51" s="227" t="s">
        <v>31</v>
      </c>
      <c r="C51" s="227"/>
      <c r="D51" s="312"/>
      <c r="E51" s="703">
        <v>0</v>
      </c>
      <c r="F51" s="323"/>
      <c r="G51" s="703">
        <v>0</v>
      </c>
      <c r="H51" s="323"/>
      <c r="I51" s="703">
        <v>0</v>
      </c>
      <c r="J51" s="323"/>
      <c r="K51" s="703">
        <v>0</v>
      </c>
      <c r="L51" s="265"/>
      <c r="M51" s="377">
        <v>0</v>
      </c>
      <c r="N51" s="265"/>
      <c r="O51" s="521">
        <v>26.2</v>
      </c>
      <c r="P51" s="265"/>
      <c r="Q51" s="521">
        <v>0</v>
      </c>
      <c r="R51" s="265"/>
      <c r="S51" s="377"/>
      <c r="T51" s="265"/>
      <c r="U51" s="377"/>
      <c r="V51" s="265"/>
      <c r="W51" s="377"/>
      <c r="X51" s="265"/>
      <c r="Y51" s="377"/>
      <c r="Z51" s="265"/>
      <c r="AA51" s="703"/>
      <c r="AB51" s="703"/>
      <c r="AC51" s="1245">
        <v>0</v>
      </c>
      <c r="AD51" s="323"/>
      <c r="AE51" s="1328"/>
      <c r="AF51" s="324">
        <f t="shared" si="2"/>
        <v>26.2</v>
      </c>
      <c r="AG51" s="2408"/>
      <c r="AH51" s="1328"/>
      <c r="AI51" s="2472">
        <v>1.4</v>
      </c>
      <c r="AJ51" s="324"/>
      <c r="AK51" s="2409"/>
      <c r="AL51" s="2477">
        <f t="shared" si="3"/>
        <v>24.8</v>
      </c>
      <c r="AM51" s="672"/>
      <c r="AN51" s="3075">
        <f>ROUND(IF(AI51=0,0,AL51/(AI51)),3)</f>
        <v>17.713999999999999</v>
      </c>
    </row>
    <row r="52" spans="1:43" ht="15.75">
      <c r="A52" s="227"/>
      <c r="B52" s="227" t="s">
        <v>32</v>
      </c>
      <c r="C52" s="227"/>
      <c r="D52" s="312"/>
      <c r="E52" s="703">
        <v>0</v>
      </c>
      <c r="F52" s="323"/>
      <c r="G52" s="703">
        <v>0</v>
      </c>
      <c r="H52" s="323"/>
      <c r="I52" s="703">
        <v>0</v>
      </c>
      <c r="J52" s="323"/>
      <c r="K52" s="703">
        <v>0</v>
      </c>
      <c r="L52" s="265"/>
      <c r="M52" s="377">
        <v>0</v>
      </c>
      <c r="N52" s="265"/>
      <c r="O52" s="377">
        <v>0</v>
      </c>
      <c r="P52" s="265"/>
      <c r="Q52" s="377">
        <v>0</v>
      </c>
      <c r="R52" s="265"/>
      <c r="S52" s="377"/>
      <c r="T52" s="265"/>
      <c r="U52" s="377"/>
      <c r="V52" s="265"/>
      <c r="W52" s="377"/>
      <c r="X52" s="265"/>
      <c r="Y52" s="377"/>
      <c r="Z52" s="265"/>
      <c r="AA52" s="323"/>
      <c r="AB52" s="323"/>
      <c r="AC52" s="1245">
        <v>0</v>
      </c>
      <c r="AD52" s="323"/>
      <c r="AE52" s="1328"/>
      <c r="AF52" s="324">
        <f t="shared" si="2"/>
        <v>0</v>
      </c>
      <c r="AG52" s="2408"/>
      <c r="AH52" s="1328"/>
      <c r="AI52" s="703">
        <v>0</v>
      </c>
      <c r="AJ52" s="324"/>
      <c r="AK52" s="2409"/>
      <c r="AL52" s="2477">
        <f t="shared" si="3"/>
        <v>0</v>
      </c>
      <c r="AM52" s="662"/>
      <c r="AN52" s="45">
        <f>ROUND(IF(AI52=0,0,AL52/(AI52)),3)</f>
        <v>0</v>
      </c>
    </row>
    <row r="53" spans="1:43" ht="15.75">
      <c r="A53" s="227"/>
      <c r="B53" s="227" t="s">
        <v>33</v>
      </c>
      <c r="C53" s="227"/>
      <c r="D53" s="312"/>
      <c r="E53" s="703">
        <v>0</v>
      </c>
      <c r="F53" s="323"/>
      <c r="G53" s="703">
        <v>0</v>
      </c>
      <c r="H53" s="323"/>
      <c r="I53" s="703">
        <v>0</v>
      </c>
      <c r="J53" s="323"/>
      <c r="K53" s="703">
        <v>0</v>
      </c>
      <c r="L53" s="265"/>
      <c r="M53" s="377">
        <v>0</v>
      </c>
      <c r="N53" s="265"/>
      <c r="O53" s="377">
        <v>0</v>
      </c>
      <c r="P53" s="265"/>
      <c r="Q53" s="377">
        <v>0</v>
      </c>
      <c r="R53" s="265"/>
      <c r="S53" s="377"/>
      <c r="T53" s="265"/>
      <c r="U53" s="377"/>
      <c r="V53" s="265"/>
      <c r="W53" s="377"/>
      <c r="X53" s="265"/>
      <c r="Y53" s="377"/>
      <c r="Z53" s="265"/>
      <c r="AA53" s="703"/>
      <c r="AB53" s="703"/>
      <c r="AC53" s="1245">
        <v>0</v>
      </c>
      <c r="AD53" s="323"/>
      <c r="AE53" s="1328"/>
      <c r="AF53" s="324">
        <f t="shared" si="2"/>
        <v>0</v>
      </c>
      <c r="AG53" s="2408"/>
      <c r="AH53" s="1328"/>
      <c r="AI53" s="703">
        <v>0</v>
      </c>
      <c r="AJ53" s="323"/>
      <c r="AK53" s="2453"/>
      <c r="AL53" s="2477">
        <f t="shared" si="3"/>
        <v>0</v>
      </c>
      <c r="AM53" s="672"/>
      <c r="AN53" s="45">
        <f>ROUND(IF(AI53=0,0,AL53/(AI53)),3)</f>
        <v>0</v>
      </c>
    </row>
    <row r="54" spans="1:43" ht="15.75">
      <c r="A54" s="227"/>
      <c r="B54" s="227" t="s">
        <v>34</v>
      </c>
      <c r="C54" s="225"/>
      <c r="D54" s="312"/>
      <c r="E54" s="703">
        <v>0</v>
      </c>
      <c r="F54" s="323"/>
      <c r="G54" s="703">
        <v>0</v>
      </c>
      <c r="H54" s="323"/>
      <c r="I54" s="703">
        <v>0</v>
      </c>
      <c r="J54" s="323"/>
      <c r="K54" s="703">
        <v>0</v>
      </c>
      <c r="L54" s="265"/>
      <c r="M54" s="377">
        <v>0</v>
      </c>
      <c r="N54" s="265"/>
      <c r="O54" s="377">
        <v>0</v>
      </c>
      <c r="P54" s="265"/>
      <c r="Q54" s="377">
        <v>0</v>
      </c>
      <c r="R54" s="265"/>
      <c r="S54" s="377"/>
      <c r="T54" s="265"/>
      <c r="U54" s="377"/>
      <c r="V54" s="265"/>
      <c r="W54" s="377"/>
      <c r="X54" s="265"/>
      <c r="Y54" s="377"/>
      <c r="Z54" s="265"/>
      <c r="AA54" s="323"/>
      <c r="AB54" s="323"/>
      <c r="AC54" s="1245">
        <v>0</v>
      </c>
      <c r="AD54" s="323"/>
      <c r="AE54" s="1328"/>
      <c r="AF54" s="324">
        <f t="shared" si="2"/>
        <v>0</v>
      </c>
      <c r="AG54" s="2408"/>
      <c r="AH54" s="1328"/>
      <c r="AI54" s="703">
        <v>0</v>
      </c>
      <c r="AJ54" s="323"/>
      <c r="AK54" s="2453"/>
      <c r="AL54" s="2477">
        <f t="shared" si="3"/>
        <v>0</v>
      </c>
      <c r="AM54" s="662"/>
      <c r="AN54" s="45">
        <f>ROUND(IF(AI54=0,0,AL54/(AI54)),3)</f>
        <v>0</v>
      </c>
      <c r="AO54" s="662"/>
    </row>
    <row r="55" spans="1:43" ht="15.75">
      <c r="A55" s="227"/>
      <c r="B55" s="227" t="s">
        <v>35</v>
      </c>
      <c r="C55" s="227"/>
      <c r="D55" s="312"/>
      <c r="E55" s="2472">
        <v>51.2</v>
      </c>
      <c r="F55" s="323"/>
      <c r="G55" s="2406">
        <v>30.7</v>
      </c>
      <c r="H55" s="323"/>
      <c r="I55" s="2406">
        <v>65.900000000000006</v>
      </c>
      <c r="J55" s="323"/>
      <c r="K55" s="1321">
        <v>29.1</v>
      </c>
      <c r="L55" s="265"/>
      <c r="M55" s="521">
        <v>25.1</v>
      </c>
      <c r="N55" s="265"/>
      <c r="O55" s="521">
        <v>44.4</v>
      </c>
      <c r="P55" s="265"/>
      <c r="Q55" s="521">
        <v>46.3</v>
      </c>
      <c r="R55" s="265"/>
      <c r="S55" s="521"/>
      <c r="T55" s="265"/>
      <c r="U55" s="521"/>
      <c r="V55" s="265"/>
      <c r="W55" s="377"/>
      <c r="X55" s="265"/>
      <c r="Y55" s="377"/>
      <c r="Z55" s="265"/>
      <c r="AA55" s="703"/>
      <c r="AB55" s="703"/>
      <c r="AC55" s="1245">
        <v>0</v>
      </c>
      <c r="AD55" s="323"/>
      <c r="AE55" s="1328"/>
      <c r="AF55" s="324">
        <f t="shared" si="2"/>
        <v>292.7</v>
      </c>
      <c r="AG55" s="2408"/>
      <c r="AH55" s="1328"/>
      <c r="AI55" s="2037">
        <v>425.2</v>
      </c>
      <c r="AJ55" s="266"/>
      <c r="AK55" s="2453"/>
      <c r="AL55" s="2477">
        <f t="shared" si="3"/>
        <v>-132.5</v>
      </c>
      <c r="AM55" s="662"/>
      <c r="AN55" s="1608">
        <f>ROUND((AF55-AI55)/AI55,3)</f>
        <v>-0.312</v>
      </c>
    </row>
    <row r="56" spans="1:43" ht="15.75">
      <c r="A56" s="227"/>
      <c r="B56" s="225" t="s">
        <v>209</v>
      </c>
      <c r="C56" s="227"/>
      <c r="D56" s="312"/>
      <c r="E56" s="2435">
        <f>ROUND(SUM(E46:E55),1)</f>
        <v>51.2</v>
      </c>
      <c r="F56" s="317"/>
      <c r="G56" s="2435">
        <f>ROUND(SUM(G46:G55),1)</f>
        <v>30.7</v>
      </c>
      <c r="H56" s="317"/>
      <c r="I56" s="2435">
        <f>ROUND(SUM(I46:I55),1)</f>
        <v>65.900000000000006</v>
      </c>
      <c r="J56" s="317"/>
      <c r="K56" s="2435">
        <f>ROUND(SUM(K46:K55),1)</f>
        <v>29.1</v>
      </c>
      <c r="L56" s="261"/>
      <c r="M56" s="550">
        <f>ROUND(SUM(M46:M55),1)</f>
        <v>25.1</v>
      </c>
      <c r="N56" s="261"/>
      <c r="O56" s="550">
        <f>ROUND(SUM(O46:O55),1)</f>
        <v>70.599999999999994</v>
      </c>
      <c r="P56" s="261"/>
      <c r="Q56" s="550">
        <f>ROUND(SUM(Q46:Q55),1)</f>
        <v>46.3</v>
      </c>
      <c r="R56" s="261"/>
      <c r="S56" s="550">
        <f>ROUND(SUM(S46:S55),1)</f>
        <v>0</v>
      </c>
      <c r="T56" s="261"/>
      <c r="U56" s="550">
        <f>ROUND(SUM(U46:U55),1)</f>
        <v>0</v>
      </c>
      <c r="V56" s="261"/>
      <c r="W56" s="550">
        <f>ROUND(SUM(W46:W55),1)</f>
        <v>0</v>
      </c>
      <c r="X56" s="261"/>
      <c r="Y56" s="550">
        <f>ROUND(SUM(Y46:Y55),1)</f>
        <v>0</v>
      </c>
      <c r="Z56" s="261"/>
      <c r="AA56" s="2435">
        <f>ROUND(SUM(AA46:AA55),1)</f>
        <v>0</v>
      </c>
      <c r="AB56" s="320"/>
      <c r="AC56" s="2435">
        <f>ROUND(SUM(AC46:AC55),1)</f>
        <v>0</v>
      </c>
      <c r="AD56" s="317"/>
      <c r="AE56" s="1329"/>
      <c r="AF56" s="2435">
        <f>ROUND(SUM(AF46:AF55),1)</f>
        <v>318.89999999999998</v>
      </c>
      <c r="AG56" s="2413"/>
      <c r="AH56" s="1329"/>
      <c r="AI56" s="2435">
        <f>ROUND(SUM(AI46:AI55),1)</f>
        <v>574.20000000000005</v>
      </c>
      <c r="AJ56" s="320"/>
      <c r="AK56" s="2453"/>
      <c r="AL56" s="2435">
        <f>ROUND(SUM(AL46:AL55),1)</f>
        <v>-255.3</v>
      </c>
      <c r="AM56" s="680"/>
      <c r="AN56" s="681">
        <f>ROUND(SUM(AF56-AI56)/AI56,3)</f>
        <v>-0.44500000000000001</v>
      </c>
      <c r="AO56" s="680"/>
      <c r="AP56" s="667"/>
      <c r="AQ56" s="667"/>
    </row>
    <row r="57" spans="1:43" ht="15.75">
      <c r="A57" s="227"/>
      <c r="B57" s="227" t="s">
        <v>210</v>
      </c>
      <c r="C57" s="227"/>
      <c r="D57" s="312"/>
      <c r="E57" s="323"/>
      <c r="F57" s="323"/>
      <c r="G57" s="323"/>
      <c r="H57" s="323"/>
      <c r="I57" s="323"/>
      <c r="J57" s="323"/>
      <c r="K57" s="323"/>
      <c r="L57" s="265"/>
      <c r="M57" s="265"/>
      <c r="N57" s="265"/>
      <c r="O57" s="265"/>
      <c r="P57" s="265"/>
      <c r="Q57" s="265"/>
      <c r="R57" s="265"/>
      <c r="S57" s="265"/>
      <c r="T57" s="265"/>
      <c r="U57" s="265"/>
      <c r="V57" s="265"/>
      <c r="W57" s="265"/>
      <c r="X57" s="265"/>
      <c r="Y57" s="265"/>
      <c r="Z57" s="265"/>
      <c r="AA57" s="323"/>
      <c r="AB57" s="323"/>
      <c r="AC57" s="323"/>
      <c r="AD57" s="323"/>
      <c r="AE57" s="1328"/>
      <c r="AF57" s="333"/>
      <c r="AG57" s="2408"/>
      <c r="AH57" s="1328"/>
      <c r="AI57" s="323"/>
      <c r="AJ57" s="323"/>
      <c r="AK57" s="2453"/>
      <c r="AL57" s="704"/>
      <c r="AM57" s="662"/>
      <c r="AN57" s="670"/>
    </row>
    <row r="58" spans="1:43" ht="15.75">
      <c r="A58" s="227"/>
      <c r="B58" s="227" t="s">
        <v>211</v>
      </c>
      <c r="C58" s="227"/>
      <c r="D58" s="312"/>
      <c r="E58" s="703">
        <v>0</v>
      </c>
      <c r="F58" s="323"/>
      <c r="G58" s="703">
        <v>0</v>
      </c>
      <c r="H58" s="323"/>
      <c r="I58" s="703">
        <v>0</v>
      </c>
      <c r="J58" s="323"/>
      <c r="K58" s="703">
        <v>0</v>
      </c>
      <c r="L58" s="265"/>
      <c r="M58" s="377">
        <v>0</v>
      </c>
      <c r="N58" s="265"/>
      <c r="O58" s="377">
        <v>0</v>
      </c>
      <c r="P58" s="265"/>
      <c r="Q58" s="377">
        <v>0</v>
      </c>
      <c r="R58" s="265"/>
      <c r="S58" s="377"/>
      <c r="T58" s="265"/>
      <c r="U58" s="377"/>
      <c r="V58" s="265"/>
      <c r="W58" s="377"/>
      <c r="X58" s="265"/>
      <c r="Y58" s="377"/>
      <c r="Z58" s="265"/>
      <c r="AA58" s="703"/>
      <c r="AB58" s="703"/>
      <c r="AC58" s="1245">
        <v>0</v>
      </c>
      <c r="AD58" s="323"/>
      <c r="AE58" s="1328"/>
      <c r="AF58" s="324">
        <f>ROUND(SUM(E58:AC58),1)</f>
        <v>0</v>
      </c>
      <c r="AG58" s="2408"/>
      <c r="AH58" s="1328"/>
      <c r="AI58" s="703">
        <v>0</v>
      </c>
      <c r="AJ58" s="333"/>
      <c r="AK58" s="2461"/>
      <c r="AL58" s="2477">
        <f>ROUND(AF58-AI58,1)</f>
        <v>0</v>
      </c>
      <c r="AM58" s="662"/>
      <c r="AN58" s="45">
        <f>ROUND(IF(AI58=0,0,AL58/(AI58)),3)</f>
        <v>0</v>
      </c>
      <c r="AO58" s="374"/>
    </row>
    <row r="59" spans="1:43" ht="15.75">
      <c r="A59" s="227"/>
      <c r="B59" s="227" t="s">
        <v>212</v>
      </c>
      <c r="C59" s="227"/>
      <c r="D59" s="312"/>
      <c r="E59" s="703">
        <v>0</v>
      </c>
      <c r="F59" s="323"/>
      <c r="G59" s="703">
        <v>0</v>
      </c>
      <c r="H59" s="323"/>
      <c r="I59" s="703">
        <v>0</v>
      </c>
      <c r="J59" s="323"/>
      <c r="K59" s="703">
        <v>0</v>
      </c>
      <c r="L59" s="265"/>
      <c r="M59" s="377">
        <v>0</v>
      </c>
      <c r="N59" s="265"/>
      <c r="O59" s="377">
        <v>0</v>
      </c>
      <c r="P59" s="265"/>
      <c r="Q59" s="377">
        <v>0</v>
      </c>
      <c r="R59" s="265"/>
      <c r="S59" s="377"/>
      <c r="T59" s="265"/>
      <c r="U59" s="377"/>
      <c r="V59" s="265"/>
      <c r="W59" s="377"/>
      <c r="X59" s="265"/>
      <c r="Y59" s="377"/>
      <c r="Z59" s="265"/>
      <c r="AA59" s="703"/>
      <c r="AB59" s="703"/>
      <c r="AC59" s="1245">
        <v>0</v>
      </c>
      <c r="AD59" s="323"/>
      <c r="AE59" s="1328"/>
      <c r="AF59" s="324">
        <f>ROUND(SUM(E59:AC59),1)</f>
        <v>0</v>
      </c>
      <c r="AG59" s="2408"/>
      <c r="AH59" s="1328"/>
      <c r="AI59" s="703">
        <v>0</v>
      </c>
      <c r="AJ59" s="333"/>
      <c r="AK59" s="2461"/>
      <c r="AL59" s="2477">
        <f>ROUND(AF59-AI59,1)</f>
        <v>0</v>
      </c>
      <c r="AM59" s="662"/>
      <c r="AN59" s="45">
        <f>ROUND(IF(AI59=0,0,AL59/(AI59)),3)</f>
        <v>0</v>
      </c>
    </row>
    <row r="60" spans="1:43" ht="15.75">
      <c r="A60" s="227"/>
      <c r="B60" s="227" t="s">
        <v>213</v>
      </c>
      <c r="C60" s="227"/>
      <c r="D60" s="312"/>
      <c r="E60" s="703">
        <v>0</v>
      </c>
      <c r="F60" s="323"/>
      <c r="G60" s="703">
        <v>0</v>
      </c>
      <c r="H60" s="323"/>
      <c r="I60" s="703">
        <v>0</v>
      </c>
      <c r="J60" s="323"/>
      <c r="K60" s="703">
        <v>0</v>
      </c>
      <c r="L60" s="265"/>
      <c r="M60" s="377">
        <v>0</v>
      </c>
      <c r="N60" s="265"/>
      <c r="O60" s="377">
        <v>0</v>
      </c>
      <c r="P60" s="265"/>
      <c r="Q60" s="377">
        <v>0</v>
      </c>
      <c r="R60" s="265"/>
      <c r="S60" s="377"/>
      <c r="T60" s="265"/>
      <c r="U60" s="377"/>
      <c r="V60" s="265"/>
      <c r="W60" s="377"/>
      <c r="X60" s="265"/>
      <c r="Y60" s="377"/>
      <c r="Z60" s="683"/>
      <c r="AA60" s="703"/>
      <c r="AB60" s="703"/>
      <c r="AC60" s="1245">
        <v>0</v>
      </c>
      <c r="AD60" s="2462"/>
      <c r="AE60" s="2463"/>
      <c r="AF60" s="324">
        <f>ROUND(SUM(E60:AC60),1)</f>
        <v>0</v>
      </c>
      <c r="AG60" s="2408"/>
      <c r="AH60" s="1328"/>
      <c r="AI60" s="703">
        <v>0</v>
      </c>
      <c r="AJ60" s="333"/>
      <c r="AK60" s="2461"/>
      <c r="AL60" s="2477">
        <f>ROUND(AF60-AI60,1)</f>
        <v>0</v>
      </c>
      <c r="AM60" s="662"/>
      <c r="AN60" s="45">
        <f>ROUND(IF(AI60=0,0,AL60/(AI60)),3)</f>
        <v>0</v>
      </c>
    </row>
    <row r="61" spans="1:43" ht="15.75">
      <c r="A61" s="227"/>
      <c r="B61" s="251" t="s">
        <v>225</v>
      </c>
      <c r="C61" s="227"/>
      <c r="D61" s="312"/>
      <c r="E61" s="324">
        <v>66.2</v>
      </c>
      <c r="F61" s="323"/>
      <c r="G61" s="2434">
        <v>78.900000000000006</v>
      </c>
      <c r="H61" s="323"/>
      <c r="I61" s="2434">
        <v>115.5</v>
      </c>
      <c r="J61" s="323"/>
      <c r="K61" s="2434">
        <v>115.3</v>
      </c>
      <c r="L61" s="265"/>
      <c r="M61" s="284">
        <v>119.7</v>
      </c>
      <c r="N61" s="265"/>
      <c r="O61" s="284">
        <v>104.6</v>
      </c>
      <c r="P61" s="265"/>
      <c r="Q61" s="494">
        <v>122.7</v>
      </c>
      <c r="R61" s="265"/>
      <c r="S61" s="494"/>
      <c r="T61" s="265"/>
      <c r="U61" s="494"/>
      <c r="V61" s="265"/>
      <c r="W61" s="494"/>
      <c r="X61" s="265"/>
      <c r="Y61" s="377"/>
      <c r="Z61" s="265"/>
      <c r="AA61" s="531"/>
      <c r="AB61" s="266"/>
      <c r="AC61" s="1245">
        <v>0</v>
      </c>
      <c r="AD61" s="323"/>
      <c r="AE61" s="1328"/>
      <c r="AF61" s="324">
        <f>ROUND(SUM(E61:AC61),1)</f>
        <v>722.9</v>
      </c>
      <c r="AG61" s="2408"/>
      <c r="AH61" s="1328"/>
      <c r="AI61" s="2038">
        <v>794.2</v>
      </c>
      <c r="AJ61" s="271"/>
      <c r="AK61" s="2409"/>
      <c r="AL61" s="2479">
        <f>ROUND(AF61-AI61,1)</f>
        <v>-71.3</v>
      </c>
      <c r="AM61" s="662"/>
      <c r="AN61" s="2004">
        <f>ROUND(IF(AI61=0,0,AL61/(AI61)),3)</f>
        <v>-0.09</v>
      </c>
    </row>
    <row r="62" spans="1:43" ht="15.75">
      <c r="A62" s="227"/>
      <c r="B62" s="227"/>
      <c r="C62" s="227"/>
      <c r="D62" s="312"/>
      <c r="E62" s="332"/>
      <c r="F62" s="323"/>
      <c r="G62" s="332"/>
      <c r="H62" s="323"/>
      <c r="I62" s="332"/>
      <c r="J62" s="323"/>
      <c r="K62" s="332"/>
      <c r="L62" s="265"/>
      <c r="M62" s="293"/>
      <c r="N62" s="265"/>
      <c r="O62" s="293"/>
      <c r="P62" s="265"/>
      <c r="Q62" s="293"/>
      <c r="R62" s="265"/>
      <c r="S62" s="293"/>
      <c r="T62" s="265"/>
      <c r="U62" s="293"/>
      <c r="V62" s="265"/>
      <c r="W62" s="293"/>
      <c r="X62" s="265"/>
      <c r="Y62" s="293"/>
      <c r="Z62" s="265"/>
      <c r="AA62" s="332"/>
      <c r="AB62" s="266"/>
      <c r="AC62" s="332"/>
      <c r="AD62" s="323"/>
      <c r="AE62" s="1328"/>
      <c r="AF62" s="332"/>
      <c r="AG62" s="2408"/>
      <c r="AH62" s="1328"/>
      <c r="AI62" s="704"/>
      <c r="AJ62" s="704"/>
      <c r="AK62" s="2465"/>
      <c r="AL62" s="704"/>
      <c r="AM62" s="662"/>
      <c r="AN62" s="670"/>
    </row>
    <row r="63" spans="1:43" ht="15.75">
      <c r="A63" s="227"/>
      <c r="B63" s="225" t="s">
        <v>214</v>
      </c>
      <c r="C63" s="227"/>
      <c r="D63" s="312"/>
      <c r="E63" s="317">
        <f>ROUND(SUM(E56:E61),1)</f>
        <v>117.4</v>
      </c>
      <c r="F63" s="317"/>
      <c r="G63" s="317">
        <f>ROUND(SUM(G56:G61),1)</f>
        <v>109.6</v>
      </c>
      <c r="H63" s="317"/>
      <c r="I63" s="317">
        <f>ROUND(SUM(I56:I61),1)</f>
        <v>181.4</v>
      </c>
      <c r="J63" s="317"/>
      <c r="K63" s="317">
        <f>ROUND(SUM(K56:K61),1)</f>
        <v>144.4</v>
      </c>
      <c r="L63" s="261"/>
      <c r="M63" s="261">
        <f>ROUND(SUM(M56:M61),1)</f>
        <v>144.80000000000001</v>
      </c>
      <c r="N63" s="261"/>
      <c r="O63" s="261">
        <f>ROUND(SUM(O56:O61),1)</f>
        <v>175.2</v>
      </c>
      <c r="P63" s="261"/>
      <c r="Q63" s="261">
        <f>ROUND(SUM(Q56:Q61),1)</f>
        <v>169</v>
      </c>
      <c r="R63" s="261"/>
      <c r="S63" s="261">
        <f>ROUND(SUM(S56:S61),1)</f>
        <v>0</v>
      </c>
      <c r="T63" s="261"/>
      <c r="U63" s="261">
        <f>ROUND(SUM(U56:U61),1)</f>
        <v>0</v>
      </c>
      <c r="V63" s="261"/>
      <c r="W63" s="261">
        <f>ROUND(SUM(W56:W61),1)</f>
        <v>0</v>
      </c>
      <c r="X63" s="261"/>
      <c r="Y63" s="261">
        <f>ROUND(SUM(Y56:Y61),1)</f>
        <v>0</v>
      </c>
      <c r="Z63" s="261"/>
      <c r="AA63" s="317">
        <f>ROUND(SUM(AA56:AA61),1)</f>
        <v>0</v>
      </c>
      <c r="AB63" s="317"/>
      <c r="AC63" s="317">
        <f>ROUND(SUM(AC56:AC61),1)</f>
        <v>0</v>
      </c>
      <c r="AD63" s="317"/>
      <c r="AE63" s="1329"/>
      <c r="AF63" s="317">
        <f>ROUND(SUM(AF56:AF61),1)</f>
        <v>1041.8</v>
      </c>
      <c r="AG63" s="2413"/>
      <c r="AH63" s="1329"/>
      <c r="AI63" s="317">
        <f>SUM(AI56:AI61)</f>
        <v>1368.4</v>
      </c>
      <c r="AJ63" s="320"/>
      <c r="AK63" s="2453"/>
      <c r="AL63" s="318">
        <f>ROUND(AF63-AI63,1)</f>
        <v>-326.60000000000002</v>
      </c>
      <c r="AM63" s="680"/>
      <c r="AN63" s="560">
        <f>ROUND(SUM(AF63-AI63)/AI63,3)</f>
        <v>-0.23899999999999999</v>
      </c>
    </row>
    <row r="64" spans="1:43" ht="15.75">
      <c r="A64" s="227"/>
      <c r="B64" s="227"/>
      <c r="C64" s="227"/>
      <c r="D64" s="312"/>
      <c r="E64" s="332"/>
      <c r="F64" s="323"/>
      <c r="G64" s="332"/>
      <c r="H64" s="323"/>
      <c r="I64" s="332"/>
      <c r="J64" s="323"/>
      <c r="K64" s="332"/>
      <c r="L64" s="265"/>
      <c r="M64" s="293"/>
      <c r="N64" s="265"/>
      <c r="O64" s="293"/>
      <c r="P64" s="265"/>
      <c r="Q64" s="293"/>
      <c r="R64" s="265"/>
      <c r="S64" s="293"/>
      <c r="T64" s="265"/>
      <c r="U64" s="293"/>
      <c r="V64" s="265"/>
      <c r="W64" s="293"/>
      <c r="X64" s="265"/>
      <c r="Y64" s="293"/>
      <c r="Z64" s="265"/>
      <c r="AA64" s="332"/>
      <c r="AB64" s="266"/>
      <c r="AC64" s="332"/>
      <c r="AD64" s="323"/>
      <c r="AE64" s="1328"/>
      <c r="AF64" s="332"/>
      <c r="AG64" s="2408"/>
      <c r="AH64" s="1328"/>
      <c r="AI64" s="332"/>
      <c r="AJ64" s="266"/>
      <c r="AK64" s="2453"/>
      <c r="AL64" s="704"/>
      <c r="AM64" s="662"/>
      <c r="AN64" s="670"/>
    </row>
    <row r="65" spans="1:41" ht="15.75">
      <c r="A65" s="227"/>
      <c r="B65" s="225" t="s">
        <v>215</v>
      </c>
      <c r="C65" s="227"/>
      <c r="D65" s="312"/>
      <c r="E65" s="323"/>
      <c r="F65" s="323"/>
      <c r="G65" s="323"/>
      <c r="H65" s="323"/>
      <c r="I65" s="323"/>
      <c r="J65" s="323"/>
      <c r="K65" s="323"/>
      <c r="L65" s="265"/>
      <c r="M65" s="265"/>
      <c r="N65" s="265"/>
      <c r="O65" s="265"/>
      <c r="P65" s="265"/>
      <c r="Q65" s="265"/>
      <c r="R65" s="265"/>
      <c r="S65" s="265"/>
      <c r="T65" s="265"/>
      <c r="U65" s="265"/>
      <c r="V65" s="265"/>
      <c r="W65" s="265"/>
      <c r="X65" s="265"/>
      <c r="Y65" s="265"/>
      <c r="Z65" s="265"/>
      <c r="AA65" s="323"/>
      <c r="AB65" s="323"/>
      <c r="AC65" s="323"/>
      <c r="AD65" s="323"/>
      <c r="AE65" s="1328"/>
      <c r="AF65" s="704"/>
      <c r="AG65" s="2408"/>
      <c r="AH65" s="266"/>
      <c r="AI65" s="704"/>
      <c r="AJ65" s="704"/>
      <c r="AK65" s="2465"/>
      <c r="AL65" s="704"/>
      <c r="AM65" s="662"/>
      <c r="AN65" s="670"/>
    </row>
    <row r="66" spans="1:41" ht="15.75">
      <c r="A66" s="227"/>
      <c r="B66" s="225" t="s">
        <v>216</v>
      </c>
      <c r="C66" s="227"/>
      <c r="D66" s="312"/>
      <c r="E66" s="317">
        <f>ROUND(E42-E63,1)</f>
        <v>-5.7</v>
      </c>
      <c r="F66" s="317"/>
      <c r="G66" s="317">
        <f>ROUND(G42-G63,1)</f>
        <v>19</v>
      </c>
      <c r="H66" s="317"/>
      <c r="I66" s="317">
        <f>ROUND(I42-I63,1)</f>
        <v>-72.5</v>
      </c>
      <c r="J66" s="317"/>
      <c r="K66" s="317">
        <f>ROUND(K42-K63,1)</f>
        <v>80</v>
      </c>
      <c r="L66" s="261"/>
      <c r="M66" s="261">
        <f>ROUND(M42-M63,1)</f>
        <v>7.1</v>
      </c>
      <c r="N66" s="261"/>
      <c r="O66" s="261">
        <f>ROUND(O42-O63,1)</f>
        <v>30</v>
      </c>
      <c r="P66" s="261"/>
      <c r="Q66" s="261">
        <f>ROUND(Q42-Q63,1)</f>
        <v>3.1</v>
      </c>
      <c r="R66" s="261"/>
      <c r="S66" s="261">
        <f>ROUND(S42-S63,1)</f>
        <v>0</v>
      </c>
      <c r="T66" s="261"/>
      <c r="U66" s="261">
        <f>ROUND(U42-U63,1)</f>
        <v>0</v>
      </c>
      <c r="V66" s="261"/>
      <c r="W66" s="261">
        <f>ROUND(W42-W63,1)</f>
        <v>0</v>
      </c>
      <c r="X66" s="261"/>
      <c r="Y66" s="261">
        <f>ROUND(Y42-Y63,1)</f>
        <v>0</v>
      </c>
      <c r="Z66" s="261"/>
      <c r="AA66" s="317">
        <f>ROUND(AA42-AA63,1)</f>
        <v>0</v>
      </c>
      <c r="AB66" s="317"/>
      <c r="AC66" s="317">
        <f>ROUND(AC42-AC63,1)</f>
        <v>0</v>
      </c>
      <c r="AD66" s="317"/>
      <c r="AE66" s="1329"/>
      <c r="AF66" s="317">
        <f>ROUND(AF42-AF63,1)</f>
        <v>61</v>
      </c>
      <c r="AG66" s="2413"/>
      <c r="AH66" s="1329"/>
      <c r="AI66" s="317">
        <f>ROUND(SUM(AI42-AI63),1)</f>
        <v>99.6</v>
      </c>
      <c r="AJ66" s="320"/>
      <c r="AK66" s="2453"/>
      <c r="AL66" s="318">
        <f>ROUND((AF66-AI66)*1,1)</f>
        <v>-38.6</v>
      </c>
      <c r="AM66" s="680"/>
      <c r="AN66" s="560">
        <f>ROUND(SUM(AF66-AI66)/AI66,3)</f>
        <v>-0.38800000000000001</v>
      </c>
    </row>
    <row r="67" spans="1:41" ht="15.75">
      <c r="A67" s="227"/>
      <c r="B67" s="227"/>
      <c r="C67" s="227"/>
      <c r="D67" s="312"/>
      <c r="E67" s="332"/>
      <c r="F67" s="323"/>
      <c r="G67" s="332"/>
      <c r="H67" s="323"/>
      <c r="I67" s="332"/>
      <c r="J67" s="323"/>
      <c r="K67" s="332"/>
      <c r="L67" s="265"/>
      <c r="M67" s="293"/>
      <c r="N67" s="265"/>
      <c r="O67" s="293"/>
      <c r="P67" s="265"/>
      <c r="Q67" s="293"/>
      <c r="R67" s="265"/>
      <c r="S67" s="293"/>
      <c r="T67" s="265"/>
      <c r="U67" s="293"/>
      <c r="V67" s="265"/>
      <c r="W67" s="293"/>
      <c r="X67" s="265"/>
      <c r="Y67" s="293"/>
      <c r="Z67" s="265"/>
      <c r="AA67" s="332"/>
      <c r="AB67" s="266"/>
      <c r="AC67" s="332"/>
      <c r="AD67" s="323"/>
      <c r="AE67" s="1328"/>
      <c r="AF67" s="332"/>
      <c r="AG67" s="2408"/>
      <c r="AH67" s="1328"/>
      <c r="AI67" s="332"/>
      <c r="AJ67" s="266"/>
      <c r="AK67" s="2453"/>
      <c r="AL67" s="704"/>
      <c r="AM67" s="662"/>
      <c r="AN67" s="670"/>
    </row>
    <row r="68" spans="1:41" ht="15.75">
      <c r="A68" s="227"/>
      <c r="B68" s="225" t="s">
        <v>217</v>
      </c>
      <c r="C68" s="227"/>
      <c r="D68" s="312"/>
      <c r="E68" s="323"/>
      <c r="F68" s="323"/>
      <c r="G68" s="323"/>
      <c r="H68" s="323"/>
      <c r="I68" s="323"/>
      <c r="J68" s="323"/>
      <c r="K68" s="323"/>
      <c r="L68" s="265"/>
      <c r="M68" s="265"/>
      <c r="N68" s="265"/>
      <c r="O68" s="265"/>
      <c r="P68" s="265"/>
      <c r="Q68" s="265"/>
      <c r="R68" s="265"/>
      <c r="S68" s="265"/>
      <c r="T68" s="265"/>
      <c r="U68" s="265"/>
      <c r="V68" s="265"/>
      <c r="W68" s="265" t="s">
        <v>16</v>
      </c>
      <c r="X68" s="265"/>
      <c r="Y68" s="265"/>
      <c r="Z68" s="265"/>
      <c r="AA68" s="323"/>
      <c r="AB68" s="323"/>
      <c r="AC68" s="323"/>
      <c r="AD68" s="323"/>
      <c r="AE68" s="1328"/>
      <c r="AF68" s="323"/>
      <c r="AG68" s="2408"/>
      <c r="AH68" s="1328"/>
      <c r="AI68" s="333"/>
      <c r="AJ68" s="333"/>
      <c r="AK68" s="2461"/>
      <c r="AL68" s="704"/>
      <c r="AM68" s="662"/>
      <c r="AN68" s="670"/>
    </row>
    <row r="69" spans="1:41" ht="15.75">
      <c r="A69" s="227"/>
      <c r="B69" s="251" t="s">
        <v>226</v>
      </c>
      <c r="C69" s="227"/>
      <c r="D69" s="312"/>
      <c r="E69" s="703">
        <v>0</v>
      </c>
      <c r="F69" s="323"/>
      <c r="G69" s="703">
        <v>0</v>
      </c>
      <c r="H69" s="323"/>
      <c r="I69" s="703">
        <v>0</v>
      </c>
      <c r="J69" s="323"/>
      <c r="K69" s="703">
        <v>0</v>
      </c>
      <c r="L69" s="265"/>
      <c r="M69" s="377">
        <v>0</v>
      </c>
      <c r="N69" s="265"/>
      <c r="O69" s="377">
        <v>0</v>
      </c>
      <c r="P69" s="265"/>
      <c r="Q69" s="377">
        <v>0</v>
      </c>
      <c r="R69" s="265"/>
      <c r="S69" s="377"/>
      <c r="T69" s="265"/>
      <c r="U69" s="377"/>
      <c r="V69" s="265"/>
      <c r="W69" s="377"/>
      <c r="X69" s="265"/>
      <c r="Y69" s="377"/>
      <c r="Z69" s="265"/>
      <c r="AA69" s="703"/>
      <c r="AB69" s="703"/>
      <c r="AC69" s="1245">
        <v>0</v>
      </c>
      <c r="AD69" s="323"/>
      <c r="AE69" s="1328"/>
      <c r="AF69" s="324">
        <f>ROUND(SUM(E69:AC69),1)</f>
        <v>0</v>
      </c>
      <c r="AG69" s="2408"/>
      <c r="AH69" s="1328"/>
      <c r="AI69" s="703">
        <v>0</v>
      </c>
      <c r="AJ69" s="324"/>
      <c r="AK69" s="2409"/>
      <c r="AL69" s="2477">
        <v>0</v>
      </c>
      <c r="AM69" s="662"/>
      <c r="AN69" s="45">
        <f>ROUND(IF(AI69=0,0,AL69/(AI69)),3)</f>
        <v>0</v>
      </c>
      <c r="AO69" s="662"/>
    </row>
    <row r="70" spans="1:41" ht="15.75">
      <c r="A70" s="227"/>
      <c r="B70" s="251" t="s">
        <v>227</v>
      </c>
      <c r="C70" s="227"/>
      <c r="D70" s="312"/>
      <c r="E70" s="703">
        <v>0</v>
      </c>
      <c r="F70" s="323"/>
      <c r="G70" s="703">
        <v>-104.3</v>
      </c>
      <c r="H70" s="323"/>
      <c r="I70" s="703">
        <v>-4.5999999999999996</v>
      </c>
      <c r="J70" s="323"/>
      <c r="K70" s="703">
        <v>0</v>
      </c>
      <c r="L70" s="265"/>
      <c r="M70" s="377">
        <v>-5.3</v>
      </c>
      <c r="N70" s="265"/>
      <c r="O70" s="377">
        <v>0</v>
      </c>
      <c r="P70" s="265"/>
      <c r="Q70" s="377">
        <v>-2.2000000000000002</v>
      </c>
      <c r="R70" s="265"/>
      <c r="S70" s="377"/>
      <c r="T70" s="265"/>
      <c r="U70" s="377"/>
      <c r="V70" s="265"/>
      <c r="W70" s="377"/>
      <c r="X70" s="265"/>
      <c r="Y70" s="377"/>
      <c r="Z70" s="265"/>
      <c r="AA70" s="323"/>
      <c r="AB70" s="323"/>
      <c r="AC70" s="323">
        <v>103.2</v>
      </c>
      <c r="AD70" s="323"/>
      <c r="AE70" s="1328"/>
      <c r="AF70" s="324">
        <f>ROUND(SUM(E70:AC70),1)</f>
        <v>-13.2</v>
      </c>
      <c r="AG70" s="2408"/>
      <c r="AH70" s="1328"/>
      <c r="AI70" s="2920">
        <v>0</v>
      </c>
      <c r="AJ70" s="266"/>
      <c r="AK70" s="2453"/>
      <c r="AL70" s="271">
        <f>ROUND(AF70-AI70,1)</f>
        <v>-13.2</v>
      </c>
      <c r="AM70" s="662"/>
      <c r="AN70" s="3234">
        <f>ROUND(IF(AI70=0,-1,AL70/(AI70)),3)</f>
        <v>-1</v>
      </c>
    </row>
    <row r="71" spans="1:41" ht="15.75">
      <c r="A71" s="227"/>
      <c r="B71" s="227"/>
      <c r="C71" s="227"/>
      <c r="D71" s="312"/>
      <c r="E71" s="332"/>
      <c r="F71" s="323"/>
      <c r="G71" s="332"/>
      <c r="H71" s="323"/>
      <c r="I71" s="332"/>
      <c r="J71" s="323"/>
      <c r="K71" s="332"/>
      <c r="L71" s="265"/>
      <c r="M71" s="293"/>
      <c r="N71" s="265"/>
      <c r="O71" s="293"/>
      <c r="P71" s="265"/>
      <c r="Q71" s="293"/>
      <c r="R71" s="265"/>
      <c r="S71" s="293"/>
      <c r="T71" s="265"/>
      <c r="U71" s="293"/>
      <c r="V71" s="265"/>
      <c r="W71" s="425"/>
      <c r="X71" s="265"/>
      <c r="Y71" s="293"/>
      <c r="Z71" s="265"/>
      <c r="AA71" s="332"/>
      <c r="AB71" s="266"/>
      <c r="AC71" s="332"/>
      <c r="AD71" s="323"/>
      <c r="AE71" s="1328"/>
      <c r="AF71" s="332"/>
      <c r="AG71" s="2408"/>
      <c r="AH71" s="1328"/>
      <c r="AI71" s="704"/>
      <c r="AJ71" s="704"/>
      <c r="AK71" s="2465"/>
      <c r="AL71" s="2480"/>
      <c r="AM71" s="705"/>
      <c r="AN71" s="3289"/>
      <c r="AO71" s="662"/>
    </row>
    <row r="72" spans="1:41" ht="15.75">
      <c r="A72" s="227"/>
      <c r="B72" s="225" t="s">
        <v>220</v>
      </c>
      <c r="C72" s="227"/>
      <c r="D72" s="312"/>
      <c r="E72" s="2473">
        <f>ROUND(SUM(E69:E71),1)</f>
        <v>0</v>
      </c>
      <c r="F72" s="323"/>
      <c r="G72" s="2473">
        <f>ROUND(SUM(G69:G71),1)</f>
        <v>-104.3</v>
      </c>
      <c r="H72" s="323"/>
      <c r="I72" s="2473">
        <f>ROUND(SUM(I69:I71),1)</f>
        <v>-4.5999999999999996</v>
      </c>
      <c r="J72" s="323"/>
      <c r="K72" s="2473">
        <f>ROUND(SUM(K69:K71),1)</f>
        <v>0</v>
      </c>
      <c r="L72" s="265"/>
      <c r="M72" s="549">
        <f>ROUND(SUM(M69:M71),1)</f>
        <v>-5.3</v>
      </c>
      <c r="N72" s="265"/>
      <c r="O72" s="549">
        <f>ROUND(SUM(O69:O71),1)</f>
        <v>0</v>
      </c>
      <c r="P72" s="265"/>
      <c r="Q72" s="549">
        <f>ROUND(SUM(Q69:Q71),1)</f>
        <v>-2.2000000000000002</v>
      </c>
      <c r="R72" s="270"/>
      <c r="S72" s="549">
        <f>ROUND(SUM(S69:S71),1)</f>
        <v>0</v>
      </c>
      <c r="T72" s="265"/>
      <c r="U72" s="549">
        <f>ROUND(SUM(U69:U71),1)</f>
        <v>0</v>
      </c>
      <c r="V72" s="265"/>
      <c r="W72" s="549">
        <f>ROUND(SUM(W69:W71),1)</f>
        <v>0</v>
      </c>
      <c r="X72" s="265"/>
      <c r="Y72" s="549">
        <f>ROUND(SUM(Y69:Y71),1)</f>
        <v>0</v>
      </c>
      <c r="Z72" s="278"/>
      <c r="AA72" s="2473">
        <f>ROUND(SUM(AA69:AA71),1)</f>
        <v>0</v>
      </c>
      <c r="AB72" s="2473"/>
      <c r="AC72" s="2473">
        <f>ROUND(SUM(AC69:AC71),1)</f>
        <v>103.2</v>
      </c>
      <c r="AD72" s="323"/>
      <c r="AE72" s="1328"/>
      <c r="AF72" s="2473">
        <f>ROUND(SUM(AF69:AF71),1)</f>
        <v>-13.2</v>
      </c>
      <c r="AG72" s="2408"/>
      <c r="AH72" s="1328"/>
      <c r="AI72" s="2473">
        <f>ROUND(SUM(AI69:AI71),1)</f>
        <v>0</v>
      </c>
      <c r="AJ72" s="266"/>
      <c r="AK72" s="2453"/>
      <c r="AL72" s="2473">
        <f>ROUND(SUM(AL69:AL71),1)</f>
        <v>-13.2</v>
      </c>
      <c r="AM72" s="705"/>
      <c r="AN72" s="3239">
        <f>-ROUND(IF(AI72=0,1,AL72/(AI72)),3)</f>
        <v>-1</v>
      </c>
    </row>
    <row r="73" spans="1:41" ht="15.75">
      <c r="A73" s="227"/>
      <c r="B73" s="227"/>
      <c r="C73" s="227"/>
      <c r="D73" s="312"/>
      <c r="E73" s="332"/>
      <c r="F73" s="323"/>
      <c r="G73" s="332"/>
      <c r="H73" s="323"/>
      <c r="I73" s="332"/>
      <c r="J73" s="323"/>
      <c r="K73" s="332"/>
      <c r="L73" s="265"/>
      <c r="M73" s="293"/>
      <c r="N73" s="265"/>
      <c r="O73" s="293"/>
      <c r="P73" s="265"/>
      <c r="Q73" s="293"/>
      <c r="R73" s="265"/>
      <c r="S73" s="293"/>
      <c r="T73" s="265"/>
      <c r="U73" s="293"/>
      <c r="V73" s="265"/>
      <c r="W73" s="293"/>
      <c r="X73" s="265"/>
      <c r="Y73" s="293"/>
      <c r="Z73" s="265"/>
      <c r="AA73" s="332"/>
      <c r="AB73" s="266"/>
      <c r="AC73" s="332"/>
      <c r="AD73" s="323"/>
      <c r="AE73" s="1328"/>
      <c r="AF73" s="332"/>
      <c r="AG73" s="2408"/>
      <c r="AH73" s="1328"/>
      <c r="AI73" s="332"/>
      <c r="AJ73" s="266"/>
      <c r="AK73" s="2453"/>
      <c r="AL73" s="332"/>
      <c r="AM73" s="662"/>
      <c r="AN73" s="3290"/>
    </row>
    <row r="74" spans="1:41" ht="15.75">
      <c r="A74" s="227"/>
      <c r="B74" s="225" t="s">
        <v>221</v>
      </c>
      <c r="C74" s="227"/>
      <c r="D74" s="312"/>
      <c r="E74" s="323" t="s">
        <v>16</v>
      </c>
      <c r="F74" s="323" t="s">
        <v>16</v>
      </c>
      <c r="G74" s="323" t="s">
        <v>16</v>
      </c>
      <c r="H74" s="323"/>
      <c r="I74" s="323" t="s">
        <v>16</v>
      </c>
      <c r="J74" s="323"/>
      <c r="K74" s="323" t="s">
        <v>16</v>
      </c>
      <c r="L74" s="265"/>
      <c r="M74" s="265" t="s">
        <v>16</v>
      </c>
      <c r="N74" s="265"/>
      <c r="O74" s="265" t="s">
        <v>16</v>
      </c>
      <c r="P74" s="265"/>
      <c r="Q74" s="265" t="s">
        <v>16</v>
      </c>
      <c r="R74" s="265"/>
      <c r="S74" s="265" t="s">
        <v>16</v>
      </c>
      <c r="T74" s="265"/>
      <c r="U74" s="265" t="s">
        <v>16</v>
      </c>
      <c r="V74" s="265"/>
      <c r="W74" s="265" t="s">
        <v>16</v>
      </c>
      <c r="X74" s="265"/>
      <c r="Y74" s="265" t="s">
        <v>16</v>
      </c>
      <c r="Z74" s="265"/>
      <c r="AA74" s="323" t="s">
        <v>16</v>
      </c>
      <c r="AB74" s="323"/>
      <c r="AC74" s="323" t="s">
        <v>16</v>
      </c>
      <c r="AD74" s="323"/>
      <c r="AE74" s="1328"/>
      <c r="AF74" s="323"/>
      <c r="AG74" s="2408"/>
      <c r="AH74" s="1328"/>
      <c r="AI74" s="323"/>
      <c r="AJ74" s="323"/>
      <c r="AK74" s="2453"/>
      <c r="AL74" s="704"/>
      <c r="AM74" s="662"/>
      <c r="AN74" s="670"/>
    </row>
    <row r="75" spans="1:41" ht="15.75">
      <c r="A75" s="227"/>
      <c r="B75" s="225" t="s">
        <v>222</v>
      </c>
      <c r="C75" s="227"/>
      <c r="D75" s="312"/>
      <c r="E75" s="323"/>
      <c r="F75" s="323"/>
      <c r="G75" s="323" t="s">
        <v>16</v>
      </c>
      <c r="H75" s="323"/>
      <c r="I75" s="323" t="s">
        <v>16</v>
      </c>
      <c r="J75" s="323"/>
      <c r="K75" s="323" t="s">
        <v>16</v>
      </c>
      <c r="L75" s="265"/>
      <c r="M75" s="265" t="s">
        <v>16</v>
      </c>
      <c r="N75" s="265"/>
      <c r="O75" s="265" t="s">
        <v>16</v>
      </c>
      <c r="P75" s="265"/>
      <c r="Q75" s="265" t="s">
        <v>16</v>
      </c>
      <c r="R75" s="265"/>
      <c r="S75" s="265" t="s">
        <v>16</v>
      </c>
      <c r="T75" s="265"/>
      <c r="U75" s="265" t="s">
        <v>16</v>
      </c>
      <c r="V75" s="265"/>
      <c r="W75" s="265" t="s">
        <v>16</v>
      </c>
      <c r="X75" s="265"/>
      <c r="Y75" s="265" t="s">
        <v>16</v>
      </c>
      <c r="Z75" s="265"/>
      <c r="AA75" s="323" t="s">
        <v>16</v>
      </c>
      <c r="AB75" s="323"/>
      <c r="AC75" s="323" t="s">
        <v>16</v>
      </c>
      <c r="AD75" s="323"/>
      <c r="AE75" s="1328"/>
      <c r="AF75" s="323"/>
      <c r="AG75" s="2408"/>
      <c r="AH75" s="1328"/>
      <c r="AI75" s="323"/>
      <c r="AJ75" s="323"/>
      <c r="AK75" s="2453"/>
      <c r="AL75" s="704"/>
      <c r="AM75" s="662"/>
      <c r="AN75" s="670"/>
    </row>
    <row r="76" spans="1:41" ht="16.5" thickBot="1">
      <c r="A76" s="227"/>
      <c r="B76" s="225" t="s">
        <v>176</v>
      </c>
      <c r="C76" s="227"/>
      <c r="D76" s="312"/>
      <c r="E76" s="496">
        <f>ROUND(E66+E72,1)</f>
        <v>-5.7</v>
      </c>
      <c r="F76" s="323"/>
      <c r="G76" s="496">
        <f>ROUND(G66+G72,1)</f>
        <v>-85.3</v>
      </c>
      <c r="H76" s="323"/>
      <c r="I76" s="496">
        <f>ROUND(I66+I72,1)</f>
        <v>-77.099999999999994</v>
      </c>
      <c r="J76" s="323"/>
      <c r="K76" s="496">
        <f>ROUND(K66+K72,1)</f>
        <v>80</v>
      </c>
      <c r="L76" s="265"/>
      <c r="M76" s="496">
        <f>ROUND(M66+M72,1)</f>
        <v>1.8</v>
      </c>
      <c r="N76" s="265"/>
      <c r="O76" s="496">
        <f>ROUND(O66+O72,1)</f>
        <v>30</v>
      </c>
      <c r="P76" s="265"/>
      <c r="Q76" s="496">
        <f>ROUND(Q66+Q72,1)</f>
        <v>0.9</v>
      </c>
      <c r="R76" s="265"/>
      <c r="S76" s="496">
        <f>ROUND(S66+S72,1)</f>
        <v>0</v>
      </c>
      <c r="T76" s="265"/>
      <c r="U76" s="496">
        <f>ROUND(U66+U72,1)</f>
        <v>0</v>
      </c>
      <c r="V76" s="265"/>
      <c r="W76" s="496">
        <f>ROUND(W66+W72,1)</f>
        <v>0</v>
      </c>
      <c r="X76" s="265"/>
      <c r="Y76" s="496">
        <f>ROUND(Y66+Y72,1)</f>
        <v>0</v>
      </c>
      <c r="Z76" s="265"/>
      <c r="AA76" s="496">
        <f>ROUND(AA66+AA72,1)</f>
        <v>0</v>
      </c>
      <c r="AB76" s="345"/>
      <c r="AC76" s="496">
        <f>ROUND(AC66+AC72,1)</f>
        <v>103.2</v>
      </c>
      <c r="AD76" s="323"/>
      <c r="AE76" s="1328"/>
      <c r="AF76" s="496">
        <f>ROUND(AF66+AF72,1)</f>
        <v>47.8</v>
      </c>
      <c r="AG76" s="3105"/>
      <c r="AH76" s="3106"/>
      <c r="AI76" s="496">
        <f>ROUND(AI66+AI72,1)</f>
        <v>99.6</v>
      </c>
      <c r="AJ76" s="3107"/>
      <c r="AK76" s="3108"/>
      <c r="AL76" s="496">
        <f>ROUND(AL66+AL72,1)</f>
        <v>-51.8</v>
      </c>
      <c r="AM76" s="2012"/>
      <c r="AN76" s="2034">
        <f>ROUND(SUM(AF76-AI76)/AI76,3)</f>
        <v>-0.52</v>
      </c>
      <c r="AO76" s="2013"/>
    </row>
    <row r="77" spans="1:41" ht="16.5" thickTop="1">
      <c r="A77" s="227"/>
      <c r="B77" s="227"/>
      <c r="C77" s="227"/>
      <c r="D77" s="312"/>
      <c r="E77" s="322"/>
      <c r="F77" s="322"/>
      <c r="G77" s="322"/>
      <c r="H77" s="322"/>
      <c r="I77" s="322"/>
      <c r="J77" s="322"/>
      <c r="K77" s="322"/>
      <c r="L77" s="257"/>
      <c r="M77" s="257"/>
      <c r="N77" s="257"/>
      <c r="O77" s="257"/>
      <c r="P77" s="257"/>
      <c r="Q77" s="257"/>
      <c r="R77" s="257"/>
      <c r="S77" s="257"/>
      <c r="T77" s="257"/>
      <c r="U77" s="257"/>
      <c r="V77" s="257"/>
      <c r="W77" s="257"/>
      <c r="X77" s="257"/>
      <c r="Y77" s="257"/>
      <c r="Z77" s="257"/>
      <c r="AA77" s="322"/>
      <c r="AB77" s="322"/>
      <c r="AC77" s="322"/>
      <c r="AD77" s="322"/>
      <c r="AE77" s="322"/>
      <c r="AF77" s="322"/>
      <c r="AG77" s="322"/>
      <c r="AH77" s="322"/>
      <c r="AI77" s="322"/>
      <c r="AJ77" s="322"/>
      <c r="AK77" s="2481"/>
      <c r="AL77" s="2450"/>
      <c r="AM77" s="662"/>
      <c r="AN77" s="670"/>
    </row>
    <row r="78" spans="1:41">
      <c r="A78" s="227"/>
      <c r="B78" s="430" t="s">
        <v>228</v>
      </c>
      <c r="C78" s="227"/>
      <c r="D78" s="312"/>
      <c r="E78" s="314"/>
      <c r="F78" s="312"/>
      <c r="G78" s="314"/>
      <c r="H78" s="312"/>
      <c r="I78" s="314"/>
      <c r="J78" s="312"/>
      <c r="K78" s="314"/>
      <c r="L78" s="227"/>
      <c r="M78" s="232"/>
      <c r="N78" s="227"/>
      <c r="O78" s="232"/>
      <c r="P78" s="227"/>
      <c r="Q78" s="232"/>
      <c r="R78" s="227"/>
      <c r="S78" s="538" t="s">
        <v>16</v>
      </c>
      <c r="T78" s="227"/>
      <c r="U78" s="538" t="s">
        <v>16</v>
      </c>
      <c r="V78" s="227"/>
      <c r="W78" s="232"/>
      <c r="X78" s="227"/>
      <c r="Y78" s="232"/>
      <c r="Z78" s="227"/>
      <c r="AA78" s="314"/>
      <c r="AB78" s="314"/>
      <c r="AC78" s="314"/>
      <c r="AD78" s="312"/>
      <c r="AE78" s="312"/>
      <c r="AF78" s="314"/>
      <c r="AG78" s="312"/>
      <c r="AH78" s="312"/>
      <c r="AI78" s="314"/>
      <c r="AJ78" s="314"/>
      <c r="AK78" s="314"/>
      <c r="AL78" s="2450"/>
      <c r="AM78" s="662"/>
      <c r="AN78" s="670"/>
    </row>
    <row r="79" spans="1:41">
      <c r="B79" s="227"/>
      <c r="Y79" s="694" t="s">
        <v>16</v>
      </c>
      <c r="AK79" s="2450"/>
      <c r="AL79" s="2424" t="s">
        <v>16</v>
      </c>
      <c r="AM79" s="662"/>
      <c r="AN79" s="706"/>
    </row>
  </sheetData>
  <customSheetViews>
    <customSheetView guid="{BD09DBC2-63A5-4D9C-9B00-4281066E9389}" scale="60" showPageBreaks="1" showGridLines="0" printArea="1">
      <selection activeCell="L25" sqref="L25"/>
      <rowBreaks count="1" manualBreakCount="1">
        <brk id="64" min="1" max="37" man="1"/>
      </rowBreaks>
      <pageMargins left="0.3" right="0.25" top="0.51" bottom="0.25" header="0" footer="0.25"/>
      <pageSetup scale="39" firstPageNumber="33" orientation="landscape" useFirstPageNumber="1" r:id="rId1"/>
      <headerFooter scaleWithDoc="0" alignWithMargins="0">
        <oddFooter>&amp;C&amp;8&amp;P</oddFooter>
      </headerFooter>
    </customSheetView>
    <customSheetView guid="{C82E0A7D-2B5B-48FC-A705-3168E651E04C}" scale="60" showPageBreaks="1" showGridLines="0" fitToPage="1" printArea="1">
      <selection activeCell="P28" sqref="P28"/>
      <rowBreaks count="1" manualBreakCount="1">
        <brk id="43" min="1" max="37" man="1"/>
      </rowBreaks>
      <pageMargins left="0.3" right="0.25" top="0.51" bottom="0.25" header="0" footer="0.25"/>
      <pageSetup scale="39" orientation="landscape" r:id="rId2"/>
      <headerFooter scaleWithDoc="0" alignWithMargins="0">
        <oddFooter>&amp;C&amp;8 33</oddFooter>
      </headerFooter>
    </customSheetView>
    <customSheetView guid="{A8B05C3B-0E7E-44A3-A097-AF4C5C09F04E}" scale="60" showPageBreaks="1" showGridLines="0" fitToPage="1" printArea="1" topLeftCell="F36">
      <selection activeCell="AN47" sqref="AN47"/>
      <rowBreaks count="1" manualBreakCount="1">
        <brk id="43" min="1" max="37" man="1"/>
      </rowBreaks>
      <pageMargins left="0.3" right="0.25" top="0.51" bottom="0.25" header="0" footer="0.25"/>
      <pageSetup scale="39" orientation="landscape" r:id="rId3"/>
      <headerFooter scaleWithDoc="0" alignWithMargins="0">
        <oddFooter>&amp;C&amp;8 33</oddFooter>
      </headerFooter>
    </customSheetView>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4"/>
      <headerFooter scaleWithDoc="0" alignWithMargins="0">
        <oddFooter>&amp;C&amp;8 33</oddFooter>
      </headerFooter>
    </customSheetView>
    <customSheetView guid="{4735AAE3-27B4-4549-AAB4-50ACA997F5F5}" scale="60" showPageBreaks="1" showGridLines="0" fitToPage="1" printArea="1" topLeftCell="D16">
      <selection activeCell="F76" sqref="F76"/>
      <rowBreaks count="1" manualBreakCount="1">
        <brk id="43" min="1" max="37" man="1"/>
      </rowBreaks>
      <pageMargins left="0.3" right="0.25" top="0.51" bottom="0.25" header="0" footer="0.25"/>
      <pageSetup scale="39" orientation="landscape" r:id="rId5"/>
      <headerFooter scaleWithDoc="0" alignWithMargins="0">
        <oddFooter>&amp;C&amp;8 33</oddFooter>
      </headerFooter>
    </customSheetView>
    <customSheetView guid="{80622567-647A-4891-B8EE-6B9E2C4DAC44}" scale="60" showPageBreaks="1" showGridLines="0" fitToPage="1" printArea="1" topLeftCell="F31">
      <selection activeCell="S69" sqref="S69"/>
      <rowBreaks count="1" manualBreakCount="1">
        <brk id="43" min="1" max="37" man="1"/>
      </rowBreaks>
      <pageMargins left="0.3" right="0.25" top="0.51" bottom="0.25" header="0" footer="0.25"/>
      <pageSetup scale="39" orientation="landscape" r:id="rId6"/>
      <headerFooter scaleWithDoc="0" alignWithMargins="0">
        <oddFooter>&amp;C&amp;8 33</oddFooter>
      </headerFooter>
    </customSheetView>
    <customSheetView guid="{A97EE6C3-4DA8-41BD-BE43-F596EFCB43CA}" scale="60" showPageBreaks="1" showGridLines="0" fitToPage="1" printArea="1" topLeftCell="A43">
      <selection activeCell="W48" sqref="W48"/>
      <rowBreaks count="1" manualBreakCount="1">
        <brk id="43" min="1" max="37" man="1"/>
      </rowBreaks>
      <pageMargins left="0.3" right="0.25" top="0.51" bottom="0.25" header="0" footer="0.25"/>
      <pageSetup scale="39" orientation="landscape" r:id="rId7"/>
      <headerFooter scaleWithDoc="0" alignWithMargins="0">
        <oddFooter>&amp;C&amp;8 33</oddFooter>
      </headerFooter>
    </customSheetView>
    <customSheetView guid="{90B76C5A-2FC4-40F0-8436-3E4F075A4887}" scale="70" showPageBreaks="1" showGridLines="0" fitToPage="1" printArea="1" topLeftCell="J43">
      <selection activeCell="W48" sqref="W48"/>
      <rowBreaks count="1" manualBreakCount="1">
        <brk id="43" max="39" man="1"/>
      </rowBreaks>
      <pageMargins left="0.3" right="0.25" top="0.51" bottom="0.25" header="0" footer="0.25"/>
      <pageSetup scale="39" orientation="landscape" r:id="rId8"/>
      <headerFooter scaleWithDoc="0" alignWithMargins="0">
        <oddFooter>&amp;C&amp;8 33</oddFooter>
      </headerFooter>
    </customSheetView>
  </customSheetViews>
  <mergeCells count="1">
    <mergeCell ref="AF10:AN10"/>
  </mergeCells>
  <pageMargins left="0.3" right="0.25" top="0.51" bottom="0.25" header="0" footer="0.25"/>
  <pageSetup scale="39" firstPageNumber="33" orientation="landscape" useFirstPageNumber="1" r:id="rId9"/>
  <headerFooter scaleWithDoc="0" alignWithMargins="0">
    <oddFooter>&amp;C&amp;8&amp;P</oddFooter>
  </headerFooter>
  <ignoredErrors>
    <ignoredError sqref="AN49" formula="1"/>
    <ignoredError sqref="AN50:AN54" formula="1" unlockedFormula="1"/>
    <ignoredError sqref="AN58:AN61 AN69 AN46:AN48 AN22 AN23:AN25 AN26 AN29:AN31 AN34 AN35:AN36 AN39:AN40 AN20 AN28 AN33 AN38" unlockedFormula="1"/>
  </ignoredErrors>
</worksheet>
</file>

<file path=xl/worksheets/sheet26.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07" customWidth="1"/>
    <col min="2" max="2" width="1.6640625" style="307" customWidth="1"/>
    <col min="3" max="3" width="9.88671875" style="307" customWidth="1"/>
    <col min="4" max="4" width="1.6640625" style="307" customWidth="1"/>
    <col min="5" max="5" width="8.88671875" style="307" customWidth="1"/>
    <col min="6" max="6" width="1.6640625" style="307" customWidth="1"/>
    <col min="7" max="7" width="8.88671875" style="307" customWidth="1"/>
    <col min="8" max="8" width="1.6640625" style="307" customWidth="1"/>
    <col min="9" max="9" width="8.88671875" style="307" customWidth="1"/>
    <col min="10" max="10" width="1.5546875" style="307" customWidth="1"/>
    <col min="11" max="11" width="9.44140625" style="307" customWidth="1"/>
    <col min="12" max="12" width="1.5546875" style="307" customWidth="1"/>
    <col min="13" max="13" width="13.33203125" style="307" customWidth="1"/>
    <col min="14" max="14" width="1.6640625" style="307" customWidth="1"/>
    <col min="15" max="15" width="11.77734375" style="307" customWidth="1"/>
    <col min="16" max="16" width="1.6640625" style="307" customWidth="1"/>
    <col min="17" max="17" width="11.77734375" style="307" customWidth="1"/>
    <col min="18" max="18" width="1.6640625" style="307" customWidth="1"/>
    <col min="19" max="19" width="12.44140625" style="307" customWidth="1"/>
    <col min="20" max="20" width="1.6640625" style="307" customWidth="1"/>
    <col min="21" max="21" width="10.5546875" style="307" customWidth="1"/>
    <col min="22" max="22" width="1.6640625" style="307" customWidth="1"/>
    <col min="23" max="23" width="10.88671875" style="307" customWidth="1"/>
    <col min="24" max="24" width="1.6640625" style="307" customWidth="1"/>
    <col min="25" max="25" width="9.33203125" style="307" customWidth="1"/>
    <col min="26" max="27" width="1.6640625" style="307" customWidth="1"/>
    <col min="28" max="28" width="11.5546875" style="307" customWidth="1"/>
    <col min="29" max="30" width="1.6640625" style="307" customWidth="1"/>
    <col min="31" max="31" width="12.44140625" style="307" customWidth="1"/>
    <col min="32" max="32" width="1.77734375" style="755" customWidth="1"/>
    <col min="33" max="33" width="2.44140625" style="2533" customWidth="1"/>
    <col min="34" max="34" width="10.33203125" style="2534" bestFit="1" customWidth="1"/>
    <col min="35" max="35" width="1.6640625" style="2534" customWidth="1"/>
    <col min="36" max="36" width="14.21875" style="2533" bestFit="1" customWidth="1"/>
    <col min="37" max="16384" width="8.88671875" style="307"/>
  </cols>
  <sheetData>
    <row r="1" spans="1:254" ht="16.5" customHeight="1">
      <c r="A1" s="1227" t="s">
        <v>1322</v>
      </c>
    </row>
    <row r="2" spans="1:254" ht="16.5" customHeight="1">
      <c r="A2" s="435"/>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row>
    <row r="3" spans="1:254" ht="20.25" customHeight="1">
      <c r="A3" s="432" t="s">
        <v>0</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227"/>
      <c r="AJ3" s="2586" t="s">
        <v>1494</v>
      </c>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433"/>
      <c r="IA3" s="433"/>
      <c r="IB3" s="433"/>
      <c r="IC3" s="433"/>
      <c r="ID3" s="433"/>
      <c r="IE3" s="433"/>
      <c r="IF3" s="433"/>
      <c r="IG3" s="433"/>
      <c r="IH3" s="433"/>
      <c r="II3" s="433"/>
      <c r="IJ3" s="433"/>
      <c r="IK3" s="433"/>
      <c r="IL3" s="433"/>
      <c r="IM3" s="433"/>
      <c r="IN3" s="433"/>
      <c r="IO3" s="433"/>
      <c r="IP3" s="433"/>
      <c r="IQ3" s="433"/>
      <c r="IR3" s="433"/>
      <c r="IS3" s="433"/>
      <c r="IT3" s="433"/>
    </row>
    <row r="4" spans="1:254" ht="20.25" customHeight="1">
      <c r="A4" s="432" t="s">
        <v>229</v>
      </c>
      <c r="B4" s="431"/>
      <c r="C4" s="431"/>
      <c r="D4" s="431"/>
      <c r="E4" s="431"/>
      <c r="F4" s="431"/>
      <c r="G4" s="431"/>
      <c r="H4" s="431"/>
      <c r="I4" s="431" t="s">
        <v>16</v>
      </c>
      <c r="J4" s="431"/>
      <c r="K4" s="431"/>
      <c r="L4" s="431"/>
      <c r="M4" s="431"/>
      <c r="N4" s="431"/>
      <c r="O4" s="431"/>
      <c r="P4" s="431"/>
      <c r="Q4" s="431"/>
      <c r="R4" s="431"/>
      <c r="S4" s="431"/>
      <c r="T4" s="431"/>
      <c r="U4" s="431"/>
      <c r="V4" s="431"/>
      <c r="W4" s="431"/>
      <c r="X4" s="431"/>
      <c r="Y4" s="431" t="s">
        <v>16</v>
      </c>
      <c r="Z4" s="431"/>
      <c r="AA4" s="431"/>
      <c r="AB4" s="431"/>
      <c r="AC4" s="431"/>
      <c r="AD4" s="431"/>
      <c r="AE4" s="431"/>
      <c r="AF4" s="227"/>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c r="CK4" s="433"/>
      <c r="CL4" s="433"/>
      <c r="CM4" s="433"/>
      <c r="CN4" s="433"/>
      <c r="CO4" s="433"/>
      <c r="CP4" s="433"/>
      <c r="CQ4" s="433"/>
      <c r="CR4" s="433"/>
      <c r="CS4" s="433"/>
      <c r="CT4" s="433"/>
      <c r="CU4" s="433"/>
      <c r="CV4" s="433"/>
      <c r="CW4" s="433"/>
      <c r="CX4" s="433"/>
      <c r="CY4" s="433"/>
      <c r="CZ4" s="433"/>
      <c r="DA4" s="433"/>
      <c r="DB4" s="433"/>
      <c r="DC4" s="433"/>
      <c r="DD4" s="433"/>
      <c r="DE4" s="433"/>
      <c r="DF4" s="433"/>
      <c r="DG4" s="433"/>
      <c r="DH4" s="433"/>
      <c r="DI4" s="433"/>
      <c r="DJ4" s="433"/>
      <c r="DK4" s="433"/>
      <c r="DL4" s="433"/>
      <c r="DM4" s="433"/>
      <c r="DN4" s="433"/>
      <c r="DO4" s="433"/>
      <c r="DP4" s="433"/>
      <c r="DQ4" s="433"/>
      <c r="DR4" s="433"/>
      <c r="DS4" s="433"/>
      <c r="DT4" s="433"/>
      <c r="DU4" s="433"/>
      <c r="DV4" s="433"/>
      <c r="DW4" s="433"/>
      <c r="DX4" s="433"/>
      <c r="DY4" s="433"/>
      <c r="DZ4" s="433"/>
      <c r="EA4" s="433"/>
      <c r="EB4" s="433"/>
      <c r="EC4" s="433"/>
      <c r="ED4" s="433"/>
      <c r="EE4" s="433"/>
      <c r="EF4" s="433"/>
      <c r="EG4" s="433"/>
      <c r="EH4" s="433"/>
      <c r="EI4" s="433"/>
      <c r="EJ4" s="433"/>
      <c r="EK4" s="433"/>
      <c r="EL4" s="433"/>
      <c r="EM4" s="433"/>
      <c r="EN4" s="433"/>
      <c r="EO4" s="433"/>
      <c r="EP4" s="433"/>
      <c r="EQ4" s="433"/>
      <c r="ER4" s="433"/>
      <c r="ES4" s="433"/>
      <c r="ET4" s="433"/>
      <c r="EU4" s="433"/>
      <c r="EV4" s="433"/>
      <c r="EW4" s="433"/>
      <c r="EX4" s="433"/>
      <c r="EY4" s="433"/>
      <c r="EZ4" s="433"/>
      <c r="FA4" s="433"/>
      <c r="FB4" s="433"/>
      <c r="FC4" s="433"/>
      <c r="FD4" s="433"/>
      <c r="FE4" s="433"/>
      <c r="FF4" s="433"/>
      <c r="FG4" s="433"/>
      <c r="FH4" s="433"/>
      <c r="FI4" s="433"/>
      <c r="FJ4" s="433"/>
      <c r="FK4" s="433"/>
      <c r="FL4" s="433"/>
      <c r="FM4" s="433"/>
      <c r="FN4" s="433"/>
      <c r="FO4" s="433"/>
      <c r="FP4" s="433"/>
      <c r="FQ4" s="433"/>
      <c r="FR4" s="433"/>
      <c r="FS4" s="433"/>
      <c r="FT4" s="433"/>
      <c r="FU4" s="433"/>
      <c r="FV4" s="433"/>
      <c r="FW4" s="433"/>
      <c r="FX4" s="433"/>
      <c r="FY4" s="433"/>
      <c r="FZ4" s="433"/>
      <c r="GA4" s="433"/>
      <c r="GB4" s="433"/>
      <c r="GC4" s="433"/>
      <c r="GD4" s="433"/>
      <c r="GE4" s="433"/>
      <c r="GF4" s="433"/>
      <c r="GG4" s="433"/>
      <c r="GH4" s="433"/>
      <c r="GI4" s="433"/>
      <c r="GJ4" s="433"/>
      <c r="GK4" s="433"/>
      <c r="GL4" s="433"/>
      <c r="GM4" s="433"/>
      <c r="GN4" s="433"/>
      <c r="GO4" s="433"/>
      <c r="GP4" s="433"/>
      <c r="GQ4" s="433"/>
      <c r="GR4" s="433"/>
      <c r="GS4" s="433"/>
      <c r="GT4" s="433"/>
      <c r="GU4" s="433"/>
      <c r="GV4" s="433"/>
      <c r="GW4" s="433"/>
      <c r="GX4" s="433"/>
      <c r="GY4" s="433"/>
      <c r="GZ4" s="433"/>
      <c r="HA4" s="433"/>
      <c r="HB4" s="433"/>
      <c r="HC4" s="433"/>
      <c r="HD4" s="433"/>
      <c r="HE4" s="433"/>
      <c r="HF4" s="433"/>
      <c r="HG4" s="433"/>
      <c r="HH4" s="433"/>
      <c r="HI4" s="433"/>
      <c r="HJ4" s="433"/>
      <c r="HK4" s="433"/>
      <c r="HL4" s="433"/>
      <c r="HM4" s="433"/>
      <c r="HN4" s="433"/>
      <c r="HO4" s="433"/>
      <c r="HP4" s="433"/>
      <c r="HQ4" s="433"/>
      <c r="HR4" s="433"/>
      <c r="HS4" s="433"/>
      <c r="HT4" s="433"/>
      <c r="HU4" s="433"/>
      <c r="HV4" s="433"/>
      <c r="HW4" s="433"/>
      <c r="HX4" s="433"/>
      <c r="HY4" s="433"/>
      <c r="HZ4" s="433"/>
      <c r="IA4" s="433"/>
      <c r="IB4" s="433"/>
      <c r="IC4" s="433"/>
      <c r="ID4" s="433"/>
      <c r="IE4" s="433"/>
      <c r="IF4" s="433"/>
      <c r="IG4" s="433"/>
      <c r="IH4" s="433"/>
      <c r="II4" s="433"/>
      <c r="IJ4" s="433"/>
      <c r="IK4" s="433"/>
      <c r="IL4" s="433"/>
      <c r="IM4" s="433"/>
      <c r="IN4" s="433"/>
      <c r="IO4" s="433"/>
      <c r="IP4" s="433"/>
      <c r="IQ4" s="433"/>
      <c r="IR4" s="433"/>
      <c r="IS4" s="433"/>
      <c r="IT4" s="433"/>
    </row>
    <row r="5" spans="1:254" ht="20.25" customHeight="1">
      <c r="A5" s="434" t="s">
        <v>129</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F5" s="1884"/>
      <c r="AK5" s="432"/>
      <c r="AL5" s="432"/>
      <c r="AM5" s="432"/>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c r="IT5" s="433"/>
    </row>
    <row r="6" spans="1:254" ht="20.25" customHeight="1">
      <c r="A6" s="434" t="s">
        <v>1177</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227"/>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c r="IT6" s="433"/>
    </row>
    <row r="7" spans="1:254" ht="20.25" customHeight="1">
      <c r="A7" s="432" t="s">
        <v>1198</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227"/>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c r="IT7" s="433"/>
    </row>
    <row r="8" spans="1:254" ht="16.5" customHeight="1">
      <c r="A8" s="435"/>
      <c r="B8" s="435"/>
      <c r="C8" s="435"/>
      <c r="D8" s="435"/>
      <c r="E8" s="435"/>
      <c r="F8" s="435"/>
      <c r="G8" s="435"/>
      <c r="H8" s="435"/>
      <c r="I8" s="435"/>
      <c r="J8" s="435"/>
      <c r="K8" s="435"/>
      <c r="L8" s="435"/>
      <c r="M8" s="435"/>
      <c r="N8" s="435"/>
      <c r="O8" s="435"/>
      <c r="P8" s="435"/>
      <c r="Q8" s="435"/>
      <c r="R8" s="435"/>
      <c r="S8" s="435"/>
      <c r="T8" s="435"/>
      <c r="U8" s="435"/>
      <c r="V8" s="435"/>
      <c r="W8" s="435"/>
      <c r="X8" s="435"/>
      <c r="Y8" s="435"/>
      <c r="Z8" s="435"/>
      <c r="AA8" s="435"/>
      <c r="AB8" s="435"/>
      <c r="AC8" s="435"/>
      <c r="AD8" s="435"/>
      <c r="AE8" s="435"/>
      <c r="AF8" s="227"/>
    </row>
    <row r="9" spans="1:254" ht="16.5" customHeight="1">
      <c r="A9" s="435"/>
      <c r="B9" s="435"/>
      <c r="C9" s="435"/>
      <c r="D9" s="435"/>
      <c r="E9" s="435"/>
      <c r="F9" s="435"/>
      <c r="G9" s="435"/>
      <c r="H9" s="435"/>
      <c r="I9" s="435"/>
      <c r="J9" s="435"/>
      <c r="K9" s="435"/>
      <c r="L9" s="435"/>
      <c r="M9" s="435"/>
      <c r="N9" s="435"/>
      <c r="O9" s="435"/>
      <c r="P9" s="435"/>
      <c r="Q9" s="435"/>
      <c r="R9" s="435"/>
      <c r="S9" s="435"/>
      <c r="T9" s="435"/>
      <c r="U9" s="435"/>
      <c r="V9" s="435"/>
      <c r="W9" s="435"/>
      <c r="X9" s="435"/>
      <c r="Y9" s="435"/>
      <c r="Z9" s="435"/>
      <c r="AA9" s="435"/>
      <c r="AB9" s="435"/>
      <c r="AC9" s="435"/>
      <c r="AD9" s="435"/>
      <c r="AE9" s="435"/>
      <c r="AF9" s="415"/>
      <c r="AG9" s="2535"/>
    </row>
    <row r="10" spans="1:254" ht="16.5" customHeight="1">
      <c r="A10" s="435"/>
      <c r="B10" s="435"/>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307"/>
      <c r="AG10" s="2536"/>
    </row>
    <row r="11" spans="1:254" ht="16.5" customHeight="1">
      <c r="A11" s="435"/>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C11" s="435"/>
      <c r="AD11" s="435"/>
      <c r="AE11" s="435"/>
      <c r="AF11" s="2259"/>
      <c r="AG11" s="2523"/>
      <c r="AH11" s="2535"/>
      <c r="AI11" s="2535"/>
      <c r="AJ11" s="2535"/>
    </row>
    <row r="12" spans="1:254" ht="16.5" customHeight="1">
      <c r="A12" s="431"/>
      <c r="B12" s="431"/>
      <c r="C12" s="440"/>
      <c r="D12" s="440"/>
      <c r="E12" s="440"/>
      <c r="F12" s="440"/>
      <c r="G12" s="440"/>
      <c r="H12" s="440"/>
      <c r="I12" s="440"/>
      <c r="J12" s="440"/>
      <c r="K12" s="440"/>
      <c r="L12" s="440"/>
      <c r="M12" s="440"/>
      <c r="N12" s="440"/>
      <c r="O12" s="440"/>
      <c r="P12" s="440"/>
      <c r="Q12" s="440"/>
      <c r="R12" s="440"/>
      <c r="S12" s="440"/>
      <c r="T12" s="440"/>
      <c r="U12" s="440"/>
      <c r="V12" s="440"/>
      <c r="W12" s="440"/>
      <c r="X12" s="440"/>
      <c r="Y12" s="1664"/>
      <c r="Z12" s="1664"/>
      <c r="AA12" s="440"/>
      <c r="AB12" s="3369" t="s">
        <v>1630</v>
      </c>
      <c r="AC12" s="3369"/>
      <c r="AD12" s="3369"/>
      <c r="AE12" s="3369"/>
      <c r="AF12" s="3369"/>
      <c r="AG12" s="3369"/>
      <c r="AH12" s="3369"/>
      <c r="AI12" s="3369"/>
      <c r="AJ12" s="3369"/>
    </row>
    <row r="13" spans="1:254" ht="16.5" customHeight="1">
      <c r="A13" s="431"/>
      <c r="B13" s="431"/>
      <c r="C13" s="1665" t="s">
        <v>130</v>
      </c>
      <c r="D13" s="440"/>
      <c r="E13" s="440"/>
      <c r="F13" s="440"/>
      <c r="G13" s="440"/>
      <c r="H13" s="440"/>
      <c r="I13" s="440"/>
      <c r="J13" s="440"/>
      <c r="K13" s="440"/>
      <c r="L13" s="440"/>
      <c r="M13" s="440"/>
      <c r="N13" s="440"/>
      <c r="O13" s="440"/>
      <c r="P13" s="440"/>
      <c r="Q13" s="440"/>
      <c r="R13" s="440"/>
      <c r="S13" s="440"/>
      <c r="T13" s="440"/>
      <c r="U13" s="2035">
        <v>2015</v>
      </c>
      <c r="V13" s="440"/>
      <c r="W13" s="440"/>
      <c r="X13" s="440"/>
      <c r="Y13" s="440"/>
      <c r="Z13" s="440"/>
      <c r="AA13" s="440"/>
      <c r="AB13" s="1000"/>
      <c r="AC13" s="2277"/>
      <c r="AD13" s="2277"/>
      <c r="AE13" s="2277"/>
      <c r="AF13" s="2260"/>
      <c r="AG13" s="2524"/>
      <c r="AH13" s="2537" t="s">
        <v>8</v>
      </c>
      <c r="AI13" s="2537"/>
      <c r="AJ13" s="2538" t="s">
        <v>9</v>
      </c>
    </row>
    <row r="14" spans="1:254" ht="16.5" customHeight="1">
      <c r="A14" s="431"/>
      <c r="B14" s="431"/>
      <c r="C14" s="1666" t="s">
        <v>131</v>
      </c>
      <c r="D14" s="440"/>
      <c r="E14" s="1666" t="s">
        <v>132</v>
      </c>
      <c r="F14" s="440"/>
      <c r="G14" s="1666" t="s">
        <v>133</v>
      </c>
      <c r="H14" s="440"/>
      <c r="I14" s="1666" t="s">
        <v>134</v>
      </c>
      <c r="J14" s="440"/>
      <c r="K14" s="1666" t="s">
        <v>135</v>
      </c>
      <c r="L14" s="440"/>
      <c r="M14" s="1666" t="s">
        <v>136</v>
      </c>
      <c r="N14" s="440"/>
      <c r="O14" s="1666" t="s">
        <v>137</v>
      </c>
      <c r="P14" s="440"/>
      <c r="Q14" s="1666" t="s">
        <v>138</v>
      </c>
      <c r="R14" s="440"/>
      <c r="S14" s="1666" t="s">
        <v>139</v>
      </c>
      <c r="T14" s="440"/>
      <c r="U14" s="1666" t="s">
        <v>140</v>
      </c>
      <c r="V14" s="440"/>
      <c r="W14" s="1666" t="s">
        <v>141</v>
      </c>
      <c r="X14" s="440"/>
      <c r="Y14" s="1666" t="s">
        <v>142</v>
      </c>
      <c r="Z14" s="440"/>
      <c r="AA14" s="440"/>
      <c r="AB14" s="1665" t="s">
        <v>130</v>
      </c>
      <c r="AC14" s="440" t="s">
        <v>16</v>
      </c>
      <c r="AD14" s="440"/>
      <c r="AE14" s="2035">
        <v>2013</v>
      </c>
      <c r="AF14" s="736"/>
      <c r="AG14" s="2525"/>
      <c r="AH14" s="2539" t="s">
        <v>13</v>
      </c>
      <c r="AI14" s="2540"/>
      <c r="AJ14" s="2539" t="s">
        <v>14</v>
      </c>
    </row>
    <row r="15" spans="1:254" ht="4.5" customHeight="1">
      <c r="A15" s="431"/>
      <c r="B15" s="431"/>
      <c r="C15" s="436"/>
      <c r="D15" s="431"/>
      <c r="E15" s="436"/>
      <c r="F15" s="431"/>
      <c r="G15" s="436"/>
      <c r="H15" s="431"/>
      <c r="I15" s="436"/>
      <c r="J15" s="431"/>
      <c r="K15" s="436"/>
      <c r="L15" s="431"/>
      <c r="M15" s="436"/>
      <c r="N15" s="431"/>
      <c r="O15" s="436" t="s">
        <v>16</v>
      </c>
      <c r="P15" s="431"/>
      <c r="Q15" s="436"/>
      <c r="R15" s="431"/>
      <c r="S15" s="436"/>
      <c r="T15" s="431"/>
      <c r="U15" s="436" t="s">
        <v>16</v>
      </c>
      <c r="V15" s="431"/>
      <c r="W15" s="436"/>
      <c r="X15" s="431"/>
      <c r="Y15" s="436"/>
      <c r="Z15" s="431"/>
      <c r="AA15" s="431"/>
      <c r="AB15" s="436"/>
      <c r="AC15" s="431"/>
      <c r="AD15" s="431"/>
      <c r="AE15" s="436"/>
      <c r="AF15" s="736"/>
      <c r="AG15" s="2525"/>
    </row>
    <row r="16" spans="1:254" ht="16.5" customHeight="1">
      <c r="A16" s="437" t="s">
        <v>143</v>
      </c>
      <c r="B16" s="431"/>
      <c r="C16" s="438">
        <v>62.5</v>
      </c>
      <c r="D16" s="438"/>
      <c r="E16" s="438">
        <v>87.3</v>
      </c>
      <c r="F16" s="707"/>
      <c r="G16" s="438">
        <v>96.3</v>
      </c>
      <c r="H16" s="707"/>
      <c r="I16" s="438">
        <f>+G55</f>
        <v>78.5</v>
      </c>
      <c r="J16" s="707"/>
      <c r="K16" s="438">
        <f>I55</f>
        <v>105</v>
      </c>
      <c r="L16" s="707"/>
      <c r="M16" s="438">
        <f>K55</f>
        <v>136</v>
      </c>
      <c r="N16" s="707"/>
      <c r="O16" s="438">
        <f>M55</f>
        <v>57</v>
      </c>
      <c r="P16" s="707"/>
      <c r="Q16" s="438"/>
      <c r="R16" s="707"/>
      <c r="S16" s="707"/>
      <c r="T16" s="707"/>
      <c r="U16" s="438"/>
      <c r="V16" s="707"/>
      <c r="W16" s="438"/>
      <c r="X16" s="707"/>
      <c r="Y16" s="438"/>
      <c r="Z16" s="438"/>
      <c r="AA16" s="439"/>
      <c r="AB16" s="438">
        <f>C16</f>
        <v>62.5</v>
      </c>
      <c r="AC16" s="438"/>
      <c r="AD16" s="439"/>
      <c r="AE16" s="438">
        <v>83.7</v>
      </c>
      <c r="AF16" s="1922"/>
      <c r="AG16" s="2526"/>
      <c r="AH16" s="2541">
        <f>ROUND(SUM(AB16-AE16),1)</f>
        <v>-21.2</v>
      </c>
      <c r="AJ16" s="2542">
        <f>ROUND(IF(AH16=0,0,AH16/(AE16)),3)</f>
        <v>-0.253</v>
      </c>
    </row>
    <row r="17" spans="1:38" ht="16.5" customHeight="1">
      <c r="A17" s="431"/>
      <c r="B17" s="431"/>
      <c r="C17" s="431" t="s">
        <v>16</v>
      </c>
      <c r="D17" s="431"/>
      <c r="E17" s="441"/>
      <c r="F17" s="441"/>
      <c r="G17" s="441"/>
      <c r="H17" s="441"/>
      <c r="I17" s="441"/>
      <c r="J17" s="441"/>
      <c r="K17" s="441"/>
      <c r="L17" s="441"/>
      <c r="M17" s="441"/>
      <c r="N17" s="441"/>
      <c r="O17" s="441"/>
      <c r="P17" s="441"/>
      <c r="Q17" s="441"/>
      <c r="R17" s="441"/>
      <c r="S17" s="441"/>
      <c r="T17" s="441"/>
      <c r="U17" s="441"/>
      <c r="V17" s="441"/>
      <c r="W17" s="441"/>
      <c r="X17" s="441"/>
      <c r="Y17" s="441"/>
      <c r="Z17" s="431"/>
      <c r="AA17" s="442"/>
      <c r="AB17" s="431" t="s">
        <v>16</v>
      </c>
      <c r="AC17" s="431"/>
      <c r="AD17" s="442"/>
      <c r="AE17" s="431" t="s">
        <v>16</v>
      </c>
      <c r="AF17" s="1924"/>
      <c r="AG17" s="2526"/>
      <c r="AH17" s="2543"/>
      <c r="AJ17" s="2534"/>
    </row>
    <row r="18" spans="1:38" ht="16.5" customHeight="1">
      <c r="A18" s="440" t="s">
        <v>15</v>
      </c>
      <c r="B18" s="431"/>
      <c r="C18" s="431"/>
      <c r="D18" s="431"/>
      <c r="E18" s="441"/>
      <c r="F18" s="441"/>
      <c r="G18" s="441"/>
      <c r="H18" s="441"/>
      <c r="I18" s="441"/>
      <c r="J18" s="441"/>
      <c r="K18" s="441"/>
      <c r="L18" s="441"/>
      <c r="M18" s="441"/>
      <c r="N18" s="441"/>
      <c r="O18" s="441"/>
      <c r="P18" s="441"/>
      <c r="Q18" s="441"/>
      <c r="R18" s="441"/>
      <c r="S18" s="441"/>
      <c r="T18" s="441"/>
      <c r="U18" s="441"/>
      <c r="V18" s="441"/>
      <c r="W18" s="441"/>
      <c r="X18" s="441"/>
      <c r="Y18" s="441"/>
      <c r="Z18" s="431"/>
      <c r="AA18" s="442"/>
      <c r="AB18" s="431"/>
      <c r="AC18" s="431"/>
      <c r="AD18" s="442"/>
      <c r="AE18" s="431"/>
      <c r="AF18" s="454"/>
      <c r="AG18" s="2526"/>
      <c r="AH18" s="2543"/>
      <c r="AJ18" s="2534"/>
    </row>
    <row r="19" spans="1:38" ht="18.75" customHeight="1">
      <c r="A19" s="431" t="s">
        <v>188</v>
      </c>
      <c r="B19" s="431"/>
      <c r="C19" s="443">
        <v>4.8</v>
      </c>
      <c r="D19" s="443"/>
      <c r="E19" s="448">
        <v>5.3</v>
      </c>
      <c r="F19" s="457"/>
      <c r="G19" s="448">
        <v>5.7</v>
      </c>
      <c r="H19" s="457"/>
      <c r="I19" s="448">
        <v>14</v>
      </c>
      <c r="J19" s="457"/>
      <c r="K19" s="709">
        <v>35.700000000000003</v>
      </c>
      <c r="L19" s="457"/>
      <c r="M19" s="448">
        <v>9.4</v>
      </c>
      <c r="N19" s="457"/>
      <c r="O19" s="448">
        <v>7.3</v>
      </c>
      <c r="P19" s="457"/>
      <c r="Q19" s="447"/>
      <c r="R19" s="457"/>
      <c r="S19" s="448"/>
      <c r="T19" s="457"/>
      <c r="U19" s="448"/>
      <c r="V19" s="457"/>
      <c r="W19" s="447"/>
      <c r="X19" s="457"/>
      <c r="Y19" s="447"/>
      <c r="Z19" s="443"/>
      <c r="AA19" s="444"/>
      <c r="AB19" s="443">
        <f>ROUND(SUM(C19:Y19),1)</f>
        <v>82.2</v>
      </c>
      <c r="AC19" s="443"/>
      <c r="AD19" s="444"/>
      <c r="AE19" s="710">
        <v>126</v>
      </c>
      <c r="AF19" s="447"/>
      <c r="AG19" s="2526"/>
      <c r="AH19" s="2544">
        <f>ROUND(AB19-AE19,1)</f>
        <v>-43.8</v>
      </c>
      <c r="AI19" s="2545"/>
      <c r="AJ19" s="2546">
        <f>ROUND(IF(AE19=0,0,AH19/(AE19)),3)</f>
        <v>-0.34799999999999998</v>
      </c>
    </row>
    <row r="20" spans="1:38" ht="17.25" customHeight="1">
      <c r="A20" s="437" t="s">
        <v>230</v>
      </c>
      <c r="B20" s="431"/>
      <c r="C20" s="443">
        <v>9.1999999999999993</v>
      </c>
      <c r="D20" s="443"/>
      <c r="E20" s="448">
        <v>2.8</v>
      </c>
      <c r="F20" s="457"/>
      <c r="G20" s="448">
        <v>2.4</v>
      </c>
      <c r="H20" s="457"/>
      <c r="I20" s="448">
        <v>3</v>
      </c>
      <c r="J20" s="457"/>
      <c r="K20" s="448">
        <v>4.7</v>
      </c>
      <c r="L20" s="711"/>
      <c r="M20" s="448">
        <v>4.2</v>
      </c>
      <c r="N20" s="457"/>
      <c r="O20" s="448">
        <v>3.3</v>
      </c>
      <c r="P20" s="457"/>
      <c r="Q20" s="447"/>
      <c r="R20" s="457"/>
      <c r="S20" s="448"/>
      <c r="T20" s="457"/>
      <c r="U20" s="448"/>
      <c r="V20" s="457"/>
      <c r="W20" s="447"/>
      <c r="X20" s="457"/>
      <c r="Y20" s="447"/>
      <c r="Z20" s="443"/>
      <c r="AA20" s="444"/>
      <c r="AB20" s="443">
        <f>ROUND(SUM(C20:Y20),1)</f>
        <v>29.6</v>
      </c>
      <c r="AC20" s="443"/>
      <c r="AD20" s="444"/>
      <c r="AE20" s="710">
        <v>1117.3</v>
      </c>
      <c r="AF20" s="447"/>
      <c r="AG20" s="2526"/>
      <c r="AH20" s="2544">
        <f>ROUND(AB20-AE20,1)</f>
        <v>-1087.7</v>
      </c>
      <c r="AI20" s="2545"/>
      <c r="AJ20" s="2546">
        <f>ROUND(IF(AE20=0,0,AH20/(AE20)),3)</f>
        <v>-0.97399999999999998</v>
      </c>
    </row>
    <row r="21" spans="1:38" ht="17.25" customHeight="1">
      <c r="A21" s="459" t="s">
        <v>231</v>
      </c>
      <c r="B21" s="431"/>
      <c r="C21" s="712">
        <v>244.8</v>
      </c>
      <c r="D21" s="443"/>
      <c r="E21" s="712">
        <v>185.9</v>
      </c>
      <c r="F21" s="457"/>
      <c r="G21" s="712">
        <v>172.3</v>
      </c>
      <c r="H21" s="457"/>
      <c r="I21" s="709">
        <v>217.1</v>
      </c>
      <c r="J21" s="457"/>
      <c r="K21" s="709">
        <v>183.5</v>
      </c>
      <c r="L21" s="457"/>
      <c r="M21" s="709">
        <v>175.8</v>
      </c>
      <c r="N21" s="457"/>
      <c r="O21" s="709">
        <v>181.8</v>
      </c>
      <c r="P21" s="457"/>
      <c r="Q21" s="709"/>
      <c r="R21" s="457"/>
      <c r="S21" s="448"/>
      <c r="T21" s="457"/>
      <c r="U21" s="709"/>
      <c r="V21" s="457"/>
      <c r="W21" s="713"/>
      <c r="X21" s="457"/>
      <c r="Y21" s="447"/>
      <c r="Z21" s="443"/>
      <c r="AA21" s="444"/>
      <c r="AB21" s="443">
        <f>ROUND(SUM(C21:Y21),1)</f>
        <v>1361.2</v>
      </c>
      <c r="AC21" s="443"/>
      <c r="AD21" s="444"/>
      <c r="AE21" s="710">
        <v>1703.7</v>
      </c>
      <c r="AF21" s="449"/>
      <c r="AG21" s="2527"/>
      <c r="AH21" s="2547">
        <f>ROUND(AB21-AE21,1)</f>
        <v>-342.5</v>
      </c>
      <c r="AI21" s="2545"/>
      <c r="AJ21" s="2548">
        <f>ROUND(IF(AE21=0,0,AH21/(AE21)),3)</f>
        <v>-0.20100000000000001</v>
      </c>
    </row>
    <row r="22" spans="1:38" ht="16.5" customHeight="1">
      <c r="A22" s="431"/>
      <c r="B22" s="431"/>
      <c r="C22" s="714"/>
      <c r="D22" s="443"/>
      <c r="E22" s="715"/>
      <c r="F22" s="457"/>
      <c r="G22" s="715"/>
      <c r="H22" s="457"/>
      <c r="I22" s="715"/>
      <c r="J22" s="457"/>
      <c r="K22" s="715"/>
      <c r="L22" s="457"/>
      <c r="M22" s="715"/>
      <c r="N22" s="457"/>
      <c r="O22" s="715"/>
      <c r="P22" s="457"/>
      <c r="Q22" s="715"/>
      <c r="R22" s="457"/>
      <c r="S22" s="715"/>
      <c r="T22" s="457"/>
      <c r="U22" s="715"/>
      <c r="V22" s="457"/>
      <c r="W22" s="452"/>
      <c r="X22" s="457"/>
      <c r="Y22" s="715"/>
      <c r="Z22" s="443"/>
      <c r="AA22" s="444"/>
      <c r="AB22" s="714"/>
      <c r="AC22" s="443"/>
      <c r="AD22" s="444"/>
      <c r="AE22" s="714"/>
      <c r="AF22" s="709"/>
      <c r="AG22" s="2527"/>
      <c r="AH22" s="2549"/>
      <c r="AJ22" s="2534"/>
    </row>
    <row r="23" spans="1:38" ht="16.5" customHeight="1">
      <c r="A23" s="440" t="s">
        <v>158</v>
      </c>
      <c r="B23" s="431"/>
      <c r="C23" s="458">
        <f>ROUND(SUM(C19:C22),1)</f>
        <v>258.8</v>
      </c>
      <c r="D23" s="445"/>
      <c r="E23" s="458">
        <f>ROUND(SUM(E19:E22),1)</f>
        <v>194</v>
      </c>
      <c r="F23" s="458"/>
      <c r="G23" s="458">
        <f>ROUND(SUM(G19:G22),1)</f>
        <v>180.4</v>
      </c>
      <c r="H23" s="458"/>
      <c r="I23" s="458">
        <f>ROUND(SUM(I19:I22),1)</f>
        <v>234.1</v>
      </c>
      <c r="J23" s="458"/>
      <c r="K23" s="458">
        <f>ROUND(SUM(K19:K22),1)</f>
        <v>223.9</v>
      </c>
      <c r="L23" s="458"/>
      <c r="M23" s="458">
        <f>ROUND(SUM(M19:M22),1)</f>
        <v>189.4</v>
      </c>
      <c r="N23" s="458"/>
      <c r="O23" s="458">
        <f>ROUND(SUM(O19:O22),1)</f>
        <v>192.4</v>
      </c>
      <c r="P23" s="458"/>
      <c r="Q23" s="458">
        <f>ROUND(SUM(Q19:Q22),1)</f>
        <v>0</v>
      </c>
      <c r="R23" s="458"/>
      <c r="S23" s="458">
        <f>ROUND(SUM(S19:S22),1)</f>
        <v>0</v>
      </c>
      <c r="T23" s="458"/>
      <c r="U23" s="458">
        <f>ROUND(SUM(U19:U22),1)</f>
        <v>0</v>
      </c>
      <c r="V23" s="458"/>
      <c r="W23" s="458">
        <f>ROUND(SUM(W19:W22),1)</f>
        <v>0</v>
      </c>
      <c r="X23" s="458"/>
      <c r="Y23" s="458">
        <f>ROUND(SUM(Y19:Y22),1)</f>
        <v>0</v>
      </c>
      <c r="Z23" s="445"/>
      <c r="AA23" s="446"/>
      <c r="AB23" s="458">
        <f>ROUND(SUM(AB19:AB22),1)</f>
        <v>1473</v>
      </c>
      <c r="AC23" s="716"/>
      <c r="AD23" s="445"/>
      <c r="AE23" s="458">
        <f>ROUND(SUM(AE19:AE22),1)</f>
        <v>2947</v>
      </c>
      <c r="AF23" s="449"/>
      <c r="AG23" s="2527"/>
      <c r="AH23" s="2550">
        <f>ROUND(SUM(AH19:AH21),1)</f>
        <v>-1474</v>
      </c>
      <c r="AI23" s="2551"/>
      <c r="AJ23" s="2552">
        <f>ROUND(IF(AH23=0,0,AH23/(AE23)),3)</f>
        <v>-0.5</v>
      </c>
      <c r="AK23" s="708"/>
      <c r="AL23" s="708"/>
    </row>
    <row r="24" spans="1:38" ht="16.5" customHeight="1">
      <c r="A24" s="431"/>
      <c r="B24" s="431"/>
      <c r="C24" s="714"/>
      <c r="D24" s="443"/>
      <c r="E24" s="715"/>
      <c r="F24" s="457"/>
      <c r="G24" s="715"/>
      <c r="H24" s="457"/>
      <c r="I24" s="715"/>
      <c r="J24" s="457"/>
      <c r="K24" s="715"/>
      <c r="L24" s="457"/>
      <c r="M24" s="715"/>
      <c r="N24" s="457"/>
      <c r="O24" s="715"/>
      <c r="P24" s="457"/>
      <c r="Q24" s="715"/>
      <c r="R24" s="457"/>
      <c r="S24" s="715"/>
      <c r="T24" s="457"/>
      <c r="U24" s="715"/>
      <c r="V24" s="457"/>
      <c r="W24" s="715"/>
      <c r="X24" s="457"/>
      <c r="Y24" s="715"/>
      <c r="Z24" s="443"/>
      <c r="AA24" s="444"/>
      <c r="AB24" s="714"/>
      <c r="AC24" s="443"/>
      <c r="AD24" s="444"/>
      <c r="AE24" s="714"/>
      <c r="AF24" s="1944"/>
      <c r="AG24" s="2527"/>
      <c r="AH24" s="2549"/>
      <c r="AJ24" s="2534"/>
    </row>
    <row r="25" spans="1:38" ht="16.5" customHeight="1">
      <c r="A25" s="431"/>
      <c r="B25" s="431"/>
      <c r="C25" s="443"/>
      <c r="D25" s="443"/>
      <c r="E25" s="457"/>
      <c r="F25" s="457"/>
      <c r="G25" s="457"/>
      <c r="H25" s="457"/>
      <c r="I25" s="457"/>
      <c r="J25" s="457"/>
      <c r="K25" s="457"/>
      <c r="L25" s="457"/>
      <c r="M25" s="457"/>
      <c r="N25" s="457"/>
      <c r="O25" s="457"/>
      <c r="P25" s="457"/>
      <c r="Q25" s="457"/>
      <c r="R25" s="457"/>
      <c r="S25" s="457"/>
      <c r="T25" s="457"/>
      <c r="U25" s="457"/>
      <c r="V25" s="457"/>
      <c r="W25" s="457"/>
      <c r="X25" s="457"/>
      <c r="Y25" s="457"/>
      <c r="Z25" s="443"/>
      <c r="AA25" s="444"/>
      <c r="AB25" s="443"/>
      <c r="AC25" s="443"/>
      <c r="AD25" s="444"/>
      <c r="AE25" s="443"/>
      <c r="AF25" s="1945"/>
      <c r="AG25" s="2527"/>
      <c r="AH25" s="2549"/>
      <c r="AJ25" s="2534"/>
    </row>
    <row r="26" spans="1:38" ht="16.5" customHeight="1">
      <c r="A26" s="431"/>
      <c r="B26" s="431"/>
      <c r="C26" s="443"/>
      <c r="D26" s="443"/>
      <c r="E26" s="457"/>
      <c r="F26" s="457"/>
      <c r="G26" s="457"/>
      <c r="H26" s="457"/>
      <c r="I26" s="457"/>
      <c r="J26" s="457"/>
      <c r="K26" s="457"/>
      <c r="L26" s="457"/>
      <c r="M26" s="457"/>
      <c r="N26" s="457"/>
      <c r="O26" s="457"/>
      <c r="P26" s="457"/>
      <c r="Q26" s="457"/>
      <c r="R26" s="457"/>
      <c r="S26" s="457"/>
      <c r="T26" s="457"/>
      <c r="U26" s="457"/>
      <c r="V26" s="457"/>
      <c r="W26" s="457"/>
      <c r="X26" s="457"/>
      <c r="Y26" s="457"/>
      <c r="Z26" s="443"/>
      <c r="AA26" s="444"/>
      <c r="AB26" s="443"/>
      <c r="AC26" s="443"/>
      <c r="AD26" s="444"/>
      <c r="AE26" s="443"/>
      <c r="AF26" s="454"/>
      <c r="AG26" s="2526"/>
      <c r="AH26" s="2549"/>
      <c r="AJ26" s="2553"/>
    </row>
    <row r="27" spans="1:38" ht="16.5" customHeight="1">
      <c r="A27" s="440" t="s">
        <v>24</v>
      </c>
      <c r="B27" s="431"/>
      <c r="C27" s="443"/>
      <c r="D27" s="443"/>
      <c r="E27" s="457"/>
      <c r="F27" s="457"/>
      <c r="G27" s="457"/>
      <c r="H27" s="457"/>
      <c r="I27" s="457"/>
      <c r="J27" s="457"/>
      <c r="K27" s="457"/>
      <c r="L27" s="457"/>
      <c r="M27" s="457"/>
      <c r="N27" s="457"/>
      <c r="O27" s="457"/>
      <c r="P27" s="457"/>
      <c r="Q27" s="457"/>
      <c r="R27" s="457"/>
      <c r="S27" s="457"/>
      <c r="T27" s="457"/>
      <c r="U27" s="457"/>
      <c r="V27" s="457"/>
      <c r="W27" s="457"/>
      <c r="X27" s="457"/>
      <c r="Y27" s="457"/>
      <c r="Z27" s="443"/>
      <c r="AA27" s="444"/>
      <c r="AB27" s="443"/>
      <c r="AC27" s="443"/>
      <c r="AD27" s="444"/>
      <c r="AE27" s="443"/>
      <c r="AF27" s="447"/>
      <c r="AG27" s="2526"/>
      <c r="AH27" s="2549"/>
      <c r="AI27" s="2554"/>
      <c r="AJ27" s="2553"/>
    </row>
    <row r="28" spans="1:38" ht="16.5" customHeight="1">
      <c r="A28" s="431" t="s">
        <v>160</v>
      </c>
      <c r="B28" s="431"/>
      <c r="C28" s="443"/>
      <c r="D28" s="443"/>
      <c r="E28" s="457"/>
      <c r="F28" s="457"/>
      <c r="G28" s="457"/>
      <c r="H28" s="457"/>
      <c r="I28" s="457"/>
      <c r="J28" s="457"/>
      <c r="K28" s="457"/>
      <c r="L28" s="457"/>
      <c r="M28" s="457"/>
      <c r="N28" s="457"/>
      <c r="O28" s="457"/>
      <c r="P28" s="457"/>
      <c r="Q28" s="457"/>
      <c r="R28" s="457"/>
      <c r="S28" s="457"/>
      <c r="T28" s="457"/>
      <c r="U28" s="457"/>
      <c r="V28" s="457"/>
      <c r="W28" s="457"/>
      <c r="X28" s="457"/>
      <c r="Y28" s="457"/>
      <c r="Z28" s="443"/>
      <c r="AA28" s="444"/>
      <c r="AB28" s="443"/>
      <c r="AC28" s="443"/>
      <c r="AD28" s="444"/>
      <c r="AE28" s="443"/>
      <c r="AF28" s="1934"/>
      <c r="AG28" s="2527"/>
      <c r="AH28" s="2549"/>
      <c r="AJ28" s="2553"/>
    </row>
    <row r="29" spans="1:38" ht="16.5" customHeight="1">
      <c r="A29" s="431" t="s">
        <v>232</v>
      </c>
      <c r="B29" s="431"/>
      <c r="C29" s="443">
        <v>0.4</v>
      </c>
      <c r="D29" s="443"/>
      <c r="E29" s="448">
        <v>0.4</v>
      </c>
      <c r="F29" s="457"/>
      <c r="G29" s="448">
        <v>0.4</v>
      </c>
      <c r="H29" s="457"/>
      <c r="I29" s="448">
        <v>0.7</v>
      </c>
      <c r="J29" s="457"/>
      <c r="K29" s="448">
        <v>0.4</v>
      </c>
      <c r="L29" s="457"/>
      <c r="M29" s="448">
        <v>2</v>
      </c>
      <c r="N29" s="457"/>
      <c r="O29" s="448">
        <v>0.6</v>
      </c>
      <c r="P29" s="457"/>
      <c r="Q29" s="447"/>
      <c r="R29" s="457"/>
      <c r="S29" s="448"/>
      <c r="T29" s="457"/>
      <c r="U29" s="448"/>
      <c r="V29" s="457"/>
      <c r="W29" s="448"/>
      <c r="X29" s="457"/>
      <c r="Y29" s="447"/>
      <c r="Z29" s="443"/>
      <c r="AA29" s="444"/>
      <c r="AB29" s="443">
        <f>ROUND(SUM(C29:Y29),1)</f>
        <v>4.9000000000000004</v>
      </c>
      <c r="AC29" s="443"/>
      <c r="AD29" s="444"/>
      <c r="AE29" s="443">
        <v>4.5</v>
      </c>
      <c r="AF29" s="454"/>
      <c r="AG29" s="2528"/>
      <c r="AH29" s="2549">
        <f>ROUND(SUM(AB29-AE29),1)</f>
        <v>0.4</v>
      </c>
      <c r="AJ29" s="2555">
        <f>ROUND(IF(AH29=0,0,AH29/(AE29)),3)</f>
        <v>8.8999999999999996E-2</v>
      </c>
    </row>
    <row r="30" spans="1:38" ht="16.5" customHeight="1">
      <c r="A30" s="431" t="s">
        <v>189</v>
      </c>
      <c r="B30" s="431"/>
      <c r="C30" s="443">
        <v>2.4</v>
      </c>
      <c r="D30" s="443"/>
      <c r="E30" s="448">
        <v>4.2</v>
      </c>
      <c r="F30" s="457"/>
      <c r="G30" s="448">
        <v>4.3</v>
      </c>
      <c r="H30" s="457"/>
      <c r="I30" s="448">
        <v>4</v>
      </c>
      <c r="J30" s="457"/>
      <c r="K30" s="448">
        <v>5.9</v>
      </c>
      <c r="L30" s="457"/>
      <c r="M30" s="448">
        <v>68</v>
      </c>
      <c r="N30" s="457"/>
      <c r="O30" s="448">
        <v>5.4</v>
      </c>
      <c r="P30" s="457"/>
      <c r="Q30" s="447"/>
      <c r="R30" s="457"/>
      <c r="S30" s="448"/>
      <c r="T30" s="457"/>
      <c r="U30" s="448"/>
      <c r="V30" s="457"/>
      <c r="W30" s="447"/>
      <c r="X30" s="457"/>
      <c r="Y30" s="447"/>
      <c r="Z30" s="443"/>
      <c r="AA30" s="444"/>
      <c r="AB30" s="443">
        <f>ROUND(SUM(C30:Y30),1)</f>
        <v>94.2</v>
      </c>
      <c r="AC30" s="443"/>
      <c r="AD30" s="444"/>
      <c r="AE30" s="443">
        <v>116.6</v>
      </c>
      <c r="AF30" s="447"/>
      <c r="AG30" s="2528"/>
      <c r="AH30" s="2549">
        <f>ROUND(SUM(AB30-AE30),1)</f>
        <v>-22.4</v>
      </c>
      <c r="AJ30" s="2555">
        <f>ROUND(IF(AH30=0,0,AH30/(AE30)),3)</f>
        <v>-0.192</v>
      </c>
    </row>
    <row r="31" spans="1:38" ht="16.5" customHeight="1">
      <c r="A31" s="431" t="s">
        <v>163</v>
      </c>
      <c r="B31" s="431"/>
      <c r="C31" s="449">
        <v>0</v>
      </c>
      <c r="D31" s="443"/>
      <c r="E31" s="449">
        <v>0</v>
      </c>
      <c r="F31" s="457"/>
      <c r="G31" s="448">
        <v>0.2</v>
      </c>
      <c r="H31" s="457"/>
      <c r="I31" s="449">
        <v>0</v>
      </c>
      <c r="J31" s="457"/>
      <c r="K31" s="449">
        <v>0.1</v>
      </c>
      <c r="L31" s="457"/>
      <c r="M31" s="447">
        <v>0.4</v>
      </c>
      <c r="N31" s="457"/>
      <c r="O31" s="447">
        <v>0</v>
      </c>
      <c r="P31" s="457"/>
      <c r="Q31" s="447"/>
      <c r="R31" s="457"/>
      <c r="S31" s="448"/>
      <c r="T31" s="457"/>
      <c r="U31" s="447"/>
      <c r="V31" s="457"/>
      <c r="W31" s="447"/>
      <c r="X31" s="457"/>
      <c r="Y31" s="449"/>
      <c r="Z31" s="443"/>
      <c r="AA31" s="444"/>
      <c r="AB31" s="443">
        <f>ROUND(SUM(C31:Y31),1)</f>
        <v>0.7</v>
      </c>
      <c r="AC31" s="443"/>
      <c r="AD31" s="444"/>
      <c r="AE31" s="443">
        <v>0.6</v>
      </c>
      <c r="AF31" s="449"/>
      <c r="AG31" s="2529"/>
      <c r="AH31" s="2549">
        <f>ROUND(SUM(AB31-AE31),1)</f>
        <v>0.1</v>
      </c>
      <c r="AJ31" s="2555">
        <f>ROUND(IF(AH31=0,0,AH31/(AE31)),3)</f>
        <v>0.16700000000000001</v>
      </c>
    </row>
    <row r="32" spans="1:38" ht="16.5" customHeight="1">
      <c r="A32" s="459" t="s">
        <v>233</v>
      </c>
      <c r="B32" s="431"/>
      <c r="C32" s="443">
        <v>231.2</v>
      </c>
      <c r="D32" s="443"/>
      <c r="E32" s="448">
        <v>180.4</v>
      </c>
      <c r="F32" s="457"/>
      <c r="G32" s="448">
        <v>193.3</v>
      </c>
      <c r="H32" s="457"/>
      <c r="I32" s="448">
        <v>202.9</v>
      </c>
      <c r="J32" s="457"/>
      <c r="K32" s="448">
        <v>186.5</v>
      </c>
      <c r="L32" s="457"/>
      <c r="M32" s="448">
        <v>197.7</v>
      </c>
      <c r="N32" s="457"/>
      <c r="O32" s="448">
        <v>167</v>
      </c>
      <c r="P32" s="457"/>
      <c r="Q32" s="447"/>
      <c r="R32" s="457"/>
      <c r="S32" s="448"/>
      <c r="T32" s="457"/>
      <c r="U32" s="448"/>
      <c r="V32" s="457"/>
      <c r="W32" s="453"/>
      <c r="X32" s="457"/>
      <c r="Y32" s="447"/>
      <c r="Z32" s="443"/>
      <c r="AA32" s="444"/>
      <c r="AB32" s="443">
        <f>ROUND(SUM(C32:Y32),1)</f>
        <v>1359</v>
      </c>
      <c r="AC32" s="443"/>
      <c r="AD32" s="444"/>
      <c r="AE32" s="710">
        <v>2822.6</v>
      </c>
      <c r="AF32" s="449"/>
      <c r="AG32" s="2528"/>
      <c r="AH32" s="2556">
        <f>ROUND(SUM(AB32-AE32),1)</f>
        <v>-1463.6</v>
      </c>
      <c r="AJ32" s="2557">
        <f>ROUND(IF(AH32=0,0,AH32/(AE32)),3)</f>
        <v>-0.51900000000000002</v>
      </c>
    </row>
    <row r="33" spans="1:37" ht="16.5" customHeight="1">
      <c r="A33" s="431"/>
      <c r="B33" s="431"/>
      <c r="C33" s="714"/>
      <c r="D33" s="443"/>
      <c r="E33" s="715"/>
      <c r="F33" s="457"/>
      <c r="G33" s="715"/>
      <c r="H33" s="457"/>
      <c r="I33" s="715"/>
      <c r="J33" s="457"/>
      <c r="K33" s="715"/>
      <c r="L33" s="457"/>
      <c r="M33" s="717"/>
      <c r="N33" s="457"/>
      <c r="O33" s="715"/>
      <c r="P33" s="457"/>
      <c r="Q33" s="715"/>
      <c r="R33" s="457"/>
      <c r="S33" s="715"/>
      <c r="T33" s="457"/>
      <c r="U33" s="715"/>
      <c r="V33" s="457"/>
      <c r="W33" s="452"/>
      <c r="X33" s="457"/>
      <c r="Y33" s="715"/>
      <c r="Z33" s="443"/>
      <c r="AA33" s="444"/>
      <c r="AB33" s="714"/>
      <c r="AC33" s="443"/>
      <c r="AD33" s="444"/>
      <c r="AE33" s="714"/>
      <c r="AF33" s="1950"/>
      <c r="AG33" s="2529"/>
      <c r="AH33" s="2549"/>
      <c r="AI33" s="2558"/>
      <c r="AJ33" s="2553"/>
    </row>
    <row r="34" spans="1:37" ht="16.5" customHeight="1">
      <c r="A34" s="440" t="s">
        <v>164</v>
      </c>
      <c r="B34" s="431"/>
      <c r="C34" s="458">
        <f>ROUND(SUM(C29:C33),1)</f>
        <v>234</v>
      </c>
      <c r="D34" s="445"/>
      <c r="E34" s="458">
        <f>ROUND(SUM(E29:E33),1)</f>
        <v>185</v>
      </c>
      <c r="F34" s="458"/>
      <c r="G34" s="458">
        <f>ROUND(SUM(G29:G33),1)</f>
        <v>198.2</v>
      </c>
      <c r="H34" s="458"/>
      <c r="I34" s="458">
        <f>ROUND(SUM(I29:I33),1)</f>
        <v>207.6</v>
      </c>
      <c r="J34" s="458"/>
      <c r="K34" s="1999">
        <f>ROUND(SUM(K29:K33),1)</f>
        <v>192.9</v>
      </c>
      <c r="L34" s="718"/>
      <c r="M34" s="458">
        <f>ROUND(SUM(M29:M33),1)</f>
        <v>268.10000000000002</v>
      </c>
      <c r="N34" s="458"/>
      <c r="O34" s="458">
        <f>ROUND(SUM(O29:O33),1)</f>
        <v>173</v>
      </c>
      <c r="P34" s="458"/>
      <c r="Q34" s="458">
        <f>ROUND(SUM(Q29:Q33),1)</f>
        <v>0</v>
      </c>
      <c r="R34" s="458"/>
      <c r="S34" s="458">
        <f>ROUND(SUM(S29:S33),1)</f>
        <v>0</v>
      </c>
      <c r="T34" s="458"/>
      <c r="U34" s="458">
        <f>ROUND(SUM(U29:U33),1)</f>
        <v>0</v>
      </c>
      <c r="V34" s="458"/>
      <c r="W34" s="458">
        <f>ROUND(SUM(W29:W33),1)</f>
        <v>0</v>
      </c>
      <c r="X34" s="458"/>
      <c r="Y34" s="458">
        <f>ROUND(SUM(Y29:Y33),1)</f>
        <v>0</v>
      </c>
      <c r="Z34" s="445"/>
      <c r="AA34" s="446"/>
      <c r="AB34" s="458">
        <f>ROUND(SUM(AB29:AB33),1)</f>
        <v>1458.8</v>
      </c>
      <c r="AC34" s="716"/>
      <c r="AD34" s="445"/>
      <c r="AE34" s="458">
        <f>ROUND(SUM(AE29:AE33),1)</f>
        <v>2944.3</v>
      </c>
      <c r="AF34" s="454"/>
      <c r="AG34" s="2526"/>
      <c r="AH34" s="2550">
        <f>ROUND(SUM(AH29:AH32),1)</f>
        <v>-1485.5</v>
      </c>
      <c r="AI34" s="2551"/>
      <c r="AJ34" s="2552">
        <f>ROUND(IF(AH34=0,0,AH34/(AE34)),3)</f>
        <v>-0.505</v>
      </c>
      <c r="AK34" s="708"/>
    </row>
    <row r="35" spans="1:37" ht="16.5" customHeight="1">
      <c r="A35" s="431"/>
      <c r="B35" s="431"/>
      <c r="C35" s="714"/>
      <c r="D35" s="443"/>
      <c r="E35" s="715"/>
      <c r="F35" s="457"/>
      <c r="G35" s="715"/>
      <c r="H35" s="457"/>
      <c r="I35" s="715"/>
      <c r="J35" s="457"/>
      <c r="K35" s="452"/>
      <c r="L35" s="457"/>
      <c r="M35" s="715"/>
      <c r="N35" s="457"/>
      <c r="O35" s="715"/>
      <c r="P35" s="457"/>
      <c r="Q35" s="715"/>
      <c r="R35" s="457"/>
      <c r="S35" s="715"/>
      <c r="T35" s="457"/>
      <c r="U35" s="715"/>
      <c r="V35" s="457"/>
      <c r="W35" s="715"/>
      <c r="X35" s="457"/>
      <c r="Y35" s="715"/>
      <c r="Z35" s="443"/>
      <c r="AA35" s="444"/>
      <c r="AB35" s="714"/>
      <c r="AC35" s="451"/>
      <c r="AD35" s="444"/>
      <c r="AE35" s="714"/>
      <c r="AF35" s="447"/>
      <c r="AG35" s="2526"/>
      <c r="AH35" s="2549"/>
      <c r="AJ35" s="2534"/>
    </row>
    <row r="36" spans="1:37" ht="16.5" customHeight="1">
      <c r="A36" s="431"/>
      <c r="B36" s="431"/>
      <c r="C36" s="443"/>
      <c r="D36" s="443"/>
      <c r="E36" s="457"/>
      <c r="F36" s="457"/>
      <c r="G36" s="457"/>
      <c r="H36" s="457"/>
      <c r="I36" s="457"/>
      <c r="J36" s="457"/>
      <c r="K36" s="457"/>
      <c r="L36" s="457"/>
      <c r="M36" s="457"/>
      <c r="N36" s="457"/>
      <c r="O36" s="457"/>
      <c r="P36" s="457"/>
      <c r="Q36" s="457"/>
      <c r="R36" s="457"/>
      <c r="S36" s="457"/>
      <c r="T36" s="457"/>
      <c r="U36" s="457"/>
      <c r="V36" s="457"/>
      <c r="W36" s="457"/>
      <c r="X36" s="457"/>
      <c r="Y36" s="457"/>
      <c r="Z36" s="443"/>
      <c r="AA36" s="444"/>
      <c r="AB36" s="443"/>
      <c r="AC36" s="451"/>
      <c r="AD36" s="444"/>
      <c r="AE36" s="443"/>
      <c r="AF36" s="750"/>
      <c r="AG36" s="2530"/>
      <c r="AH36" s="2549"/>
      <c r="AI36" s="2554"/>
      <c r="AJ36" s="2553"/>
    </row>
    <row r="37" spans="1:37" ht="16.5" customHeight="1">
      <c r="A37" s="431"/>
      <c r="B37" s="431"/>
      <c r="C37" s="443"/>
      <c r="D37" s="443"/>
      <c r="E37" s="457"/>
      <c r="F37" s="457"/>
      <c r="G37" s="457"/>
      <c r="H37" s="457"/>
      <c r="I37" s="457"/>
      <c r="J37" s="457"/>
      <c r="K37" s="457"/>
      <c r="L37" s="457"/>
      <c r="M37" s="457"/>
      <c r="N37" s="457"/>
      <c r="O37" s="457"/>
      <c r="P37" s="457"/>
      <c r="Q37" s="457"/>
      <c r="R37" s="457"/>
      <c r="S37" s="457"/>
      <c r="T37" s="457"/>
      <c r="U37" s="457"/>
      <c r="V37" s="457"/>
      <c r="W37" s="457"/>
      <c r="X37" s="457"/>
      <c r="Y37" s="457"/>
      <c r="Z37" s="443"/>
      <c r="AA37" s="444"/>
      <c r="AB37" s="443"/>
      <c r="AC37" s="451"/>
      <c r="AD37" s="444"/>
      <c r="AE37" s="443"/>
      <c r="AF37" s="1934"/>
      <c r="AG37" s="2531"/>
      <c r="AH37" s="2549"/>
      <c r="AI37" s="2554"/>
      <c r="AJ37" s="2553"/>
    </row>
    <row r="38" spans="1:37" ht="16.5" customHeight="1">
      <c r="A38" s="440" t="s">
        <v>165</v>
      </c>
      <c r="B38" s="431"/>
      <c r="C38" s="443"/>
      <c r="D38" s="443"/>
      <c r="E38" s="457"/>
      <c r="F38" s="457"/>
      <c r="G38" s="457"/>
      <c r="H38" s="457"/>
      <c r="I38" s="457"/>
      <c r="J38" s="457"/>
      <c r="K38" s="457"/>
      <c r="L38" s="457"/>
      <c r="M38" s="457"/>
      <c r="N38" s="457"/>
      <c r="O38" s="457"/>
      <c r="P38" s="457"/>
      <c r="Q38" s="457"/>
      <c r="R38" s="457"/>
      <c r="S38" s="457"/>
      <c r="T38" s="457"/>
      <c r="U38" s="457"/>
      <c r="V38" s="457"/>
      <c r="W38" s="457"/>
      <c r="X38" s="457"/>
      <c r="Y38" s="457"/>
      <c r="Z38" s="443"/>
      <c r="AA38" s="444"/>
      <c r="AB38" s="443"/>
      <c r="AC38" s="451"/>
      <c r="AD38" s="444"/>
      <c r="AE38" s="443"/>
      <c r="AF38" s="735"/>
      <c r="AG38" s="2532"/>
      <c r="AH38" s="2549"/>
      <c r="AI38" s="2554"/>
      <c r="AJ38" s="2553"/>
    </row>
    <row r="39" spans="1:37" ht="16.5" customHeight="1">
      <c r="A39" s="440" t="s">
        <v>46</v>
      </c>
      <c r="B39" s="431"/>
      <c r="C39" s="458">
        <f>ROUND(C23-C34,1)</f>
        <v>24.8</v>
      </c>
      <c r="D39" s="445"/>
      <c r="E39" s="458">
        <f>ROUND(E23-E34,1)</f>
        <v>9</v>
      </c>
      <c r="F39" s="458"/>
      <c r="G39" s="458">
        <f>ROUND(G23-G34,1)</f>
        <v>-17.8</v>
      </c>
      <c r="H39" s="458"/>
      <c r="I39" s="458">
        <f>ROUND(I23-I34,1)</f>
        <v>26.5</v>
      </c>
      <c r="J39" s="458"/>
      <c r="K39" s="458">
        <f>ROUND(K23-K34,1)</f>
        <v>31</v>
      </c>
      <c r="L39" s="458"/>
      <c r="M39" s="458">
        <f>ROUND(M23-M34,1)</f>
        <v>-78.7</v>
      </c>
      <c r="N39" s="458"/>
      <c r="O39" s="458">
        <f>ROUND(O23-O34,1)</f>
        <v>19.399999999999999</v>
      </c>
      <c r="P39" s="458"/>
      <c r="Q39" s="458">
        <f>ROUND(Q23-Q34,1)</f>
        <v>0</v>
      </c>
      <c r="R39" s="458"/>
      <c r="S39" s="458">
        <f>ROUND(S23-S34,1)</f>
        <v>0</v>
      </c>
      <c r="T39" s="458"/>
      <c r="U39" s="458">
        <f>ROUND(U23-U34,1)</f>
        <v>0</v>
      </c>
      <c r="V39" s="458"/>
      <c r="W39" s="458">
        <f>ROUND(W23-W34,1)</f>
        <v>0</v>
      </c>
      <c r="X39" s="458"/>
      <c r="Y39" s="458">
        <f>ROUND(Y23-Y34,1)</f>
        <v>0</v>
      </c>
      <c r="Z39" s="445"/>
      <c r="AA39" s="446"/>
      <c r="AB39" s="458">
        <f>ROUND(AB23-AB34,1)</f>
        <v>14.2</v>
      </c>
      <c r="AC39" s="716"/>
      <c r="AD39" s="445"/>
      <c r="AE39" s="458">
        <f>ROUND(AE23-AE34,1)</f>
        <v>2.7</v>
      </c>
      <c r="AF39" s="1941"/>
      <c r="AG39" s="2530"/>
      <c r="AH39" s="2550">
        <f>ROUND(SUM(AH23-AH34),1)</f>
        <v>11.5</v>
      </c>
      <c r="AI39" s="2551"/>
      <c r="AJ39" s="2552">
        <f>ROUND(IF(AH39=0,0,AH39/ABS(AE39)),3)</f>
        <v>4.2590000000000003</v>
      </c>
    </row>
    <row r="40" spans="1:37" ht="16.5" customHeight="1">
      <c r="A40" s="431"/>
      <c r="B40" s="431"/>
      <c r="C40" s="714"/>
      <c r="D40" s="443"/>
      <c r="E40" s="715"/>
      <c r="F40" s="457"/>
      <c r="G40" s="715"/>
      <c r="H40" s="457"/>
      <c r="I40" s="715"/>
      <c r="J40" s="457"/>
      <c r="K40" s="715"/>
      <c r="L40" s="457"/>
      <c r="M40" s="715"/>
      <c r="N40" s="457"/>
      <c r="O40" s="715"/>
      <c r="P40" s="457"/>
      <c r="Q40" s="715"/>
      <c r="R40" s="457"/>
      <c r="S40" s="715"/>
      <c r="T40" s="457"/>
      <c r="U40" s="715"/>
      <c r="V40" s="457"/>
      <c r="W40" s="715"/>
      <c r="X40" s="457"/>
      <c r="Y40" s="715"/>
      <c r="Z40" s="443"/>
      <c r="AA40" s="444"/>
      <c r="AB40" s="714"/>
      <c r="AC40" s="451"/>
      <c r="AD40" s="444"/>
      <c r="AE40" s="714"/>
      <c r="AF40" s="257"/>
      <c r="AG40" s="2530"/>
      <c r="AH40" s="2549"/>
      <c r="AJ40" s="2534"/>
    </row>
    <row r="41" spans="1:37" ht="16.5" customHeight="1">
      <c r="A41" s="431"/>
      <c r="B41" s="431"/>
      <c r="C41" s="443"/>
      <c r="D41" s="443"/>
      <c r="E41" s="457"/>
      <c r="F41" s="457"/>
      <c r="G41" s="457"/>
      <c r="H41" s="457"/>
      <c r="I41" s="457"/>
      <c r="J41" s="457"/>
      <c r="K41" s="457"/>
      <c r="L41" s="457"/>
      <c r="M41" s="457"/>
      <c r="N41" s="457"/>
      <c r="O41" s="457"/>
      <c r="P41" s="457"/>
      <c r="Q41" s="457"/>
      <c r="R41" s="457"/>
      <c r="S41" s="457"/>
      <c r="T41" s="457"/>
      <c r="U41" s="457"/>
      <c r="V41" s="457"/>
      <c r="W41" s="457"/>
      <c r="X41" s="457"/>
      <c r="Y41" s="457"/>
      <c r="Z41" s="443"/>
      <c r="AA41" s="444"/>
      <c r="AB41" s="443"/>
      <c r="AC41" s="443"/>
      <c r="AD41" s="444"/>
      <c r="AE41" s="443"/>
      <c r="AF41" s="372"/>
      <c r="AG41" s="2530"/>
      <c r="AH41" s="2549"/>
      <c r="AJ41" s="2534"/>
    </row>
    <row r="42" spans="1:37" ht="16.5" customHeight="1">
      <c r="A42" s="431"/>
      <c r="B42" s="431"/>
      <c r="C42" s="443"/>
      <c r="D42" s="443"/>
      <c r="E42" s="457"/>
      <c r="F42" s="457"/>
      <c r="G42" s="457"/>
      <c r="H42" s="457"/>
      <c r="I42" s="457"/>
      <c r="J42" s="457"/>
      <c r="K42" s="457"/>
      <c r="L42" s="457"/>
      <c r="M42" s="457"/>
      <c r="N42" s="457"/>
      <c r="O42" s="457"/>
      <c r="P42" s="457"/>
      <c r="Q42" s="457"/>
      <c r="R42" s="457"/>
      <c r="S42" s="457"/>
      <c r="T42" s="457"/>
      <c r="U42" s="457"/>
      <c r="V42" s="457"/>
      <c r="W42" s="457"/>
      <c r="X42" s="457"/>
      <c r="Y42" s="457"/>
      <c r="Z42" s="443"/>
      <c r="AA42" s="444"/>
      <c r="AB42" s="443"/>
      <c r="AC42" s="443"/>
      <c r="AD42" s="444"/>
      <c r="AE42" s="443"/>
      <c r="AG42" s="2527"/>
      <c r="AH42" s="2549"/>
      <c r="AJ42" s="2553"/>
    </row>
    <row r="43" spans="1:37" ht="16.5" customHeight="1">
      <c r="A43" s="440" t="s">
        <v>47</v>
      </c>
      <c r="B43" s="431"/>
      <c r="C43" s="443"/>
      <c r="D43" s="443"/>
      <c r="E43" s="457"/>
      <c r="F43" s="457"/>
      <c r="G43" s="457"/>
      <c r="H43" s="457"/>
      <c r="I43" s="457"/>
      <c r="J43" s="457"/>
      <c r="K43" s="719"/>
      <c r="L43" s="457"/>
      <c r="M43" s="457"/>
      <c r="N43" s="457"/>
      <c r="O43" s="457"/>
      <c r="P43" s="457"/>
      <c r="Q43" s="457"/>
      <c r="R43" s="457"/>
      <c r="S43" s="457"/>
      <c r="T43" s="457"/>
      <c r="U43" s="457"/>
      <c r="V43" s="457"/>
      <c r="W43" s="457"/>
      <c r="X43" s="457"/>
      <c r="Y43" s="457"/>
      <c r="Z43" s="443"/>
      <c r="AA43" s="444"/>
      <c r="AB43" s="443"/>
      <c r="AC43" s="443"/>
      <c r="AD43" s="444"/>
      <c r="AE43" s="443"/>
      <c r="AF43" s="372"/>
      <c r="AG43" s="2530"/>
      <c r="AH43" s="2559"/>
      <c r="AI43" s="2560"/>
      <c r="AJ43" s="2553"/>
    </row>
    <row r="44" spans="1:37" ht="16.5" customHeight="1">
      <c r="A44" s="431" t="s">
        <v>191</v>
      </c>
      <c r="B44" s="431"/>
      <c r="C44" s="455">
        <v>0</v>
      </c>
      <c r="D44" s="443"/>
      <c r="E44" s="455">
        <v>0</v>
      </c>
      <c r="F44" s="457"/>
      <c r="G44" s="455">
        <v>0</v>
      </c>
      <c r="H44" s="448"/>
      <c r="I44" s="455">
        <v>0</v>
      </c>
      <c r="J44" s="457"/>
      <c r="K44" s="455">
        <v>0</v>
      </c>
      <c r="L44" s="457"/>
      <c r="M44" s="455">
        <v>0</v>
      </c>
      <c r="N44" s="457"/>
      <c r="O44" s="455">
        <v>0</v>
      </c>
      <c r="P44" s="457"/>
      <c r="Q44" s="455"/>
      <c r="R44" s="457"/>
      <c r="S44" s="455"/>
      <c r="T44" s="457"/>
      <c r="U44" s="455"/>
      <c r="V44" s="457"/>
      <c r="W44" s="455"/>
      <c r="X44" s="457"/>
      <c r="Y44" s="455"/>
      <c r="Z44" s="443"/>
      <c r="AA44" s="444"/>
      <c r="AB44" s="443">
        <f>ROUND(SUM(C44:Y44),1)</f>
        <v>0</v>
      </c>
      <c r="AC44" s="443"/>
      <c r="AD44" s="444"/>
      <c r="AE44" s="456">
        <v>0</v>
      </c>
      <c r="AF44" s="372"/>
      <c r="AG44" s="2530"/>
      <c r="AH44" s="2549">
        <f>ROUND(SUM(AB44-AE44),1)</f>
        <v>0</v>
      </c>
      <c r="AJ44" s="3163">
        <f>ROUND(IF(AH44=0,0,AH44/(AE44)),3)</f>
        <v>0</v>
      </c>
    </row>
    <row r="45" spans="1:37" ht="16.5" customHeight="1">
      <c r="A45" s="431" t="s">
        <v>192</v>
      </c>
      <c r="B45" s="431"/>
      <c r="C45" s="455">
        <v>0</v>
      </c>
      <c r="D45" s="443"/>
      <c r="E45" s="455">
        <v>0</v>
      </c>
      <c r="F45" s="457"/>
      <c r="G45" s="455">
        <v>0</v>
      </c>
      <c r="H45" s="448"/>
      <c r="I45" s="455">
        <v>0</v>
      </c>
      <c r="J45" s="457"/>
      <c r="K45" s="455">
        <v>0</v>
      </c>
      <c r="L45" s="457"/>
      <c r="M45" s="455">
        <v>-0.3</v>
      </c>
      <c r="N45" s="457"/>
      <c r="O45" s="455">
        <v>0</v>
      </c>
      <c r="P45" s="457"/>
      <c r="Q45" s="455"/>
      <c r="R45" s="457"/>
      <c r="S45" s="455"/>
      <c r="T45" s="457"/>
      <c r="U45" s="455"/>
      <c r="V45" s="457"/>
      <c r="W45" s="455"/>
      <c r="X45" s="457"/>
      <c r="Y45" s="455"/>
      <c r="Z45" s="443"/>
      <c r="AA45" s="444"/>
      <c r="AB45" s="443">
        <f>ROUND(SUM(C45:Y45),1)</f>
        <v>-0.3</v>
      </c>
      <c r="AC45" s="443"/>
      <c r="AD45" s="444"/>
      <c r="AE45" s="456">
        <v>0</v>
      </c>
      <c r="AF45" s="372"/>
      <c r="AG45" s="2530"/>
      <c r="AH45" s="3165">
        <f>ROUND(SUM(AB45-AE45),1)</f>
        <v>-0.3</v>
      </c>
      <c r="AJ45" s="3291">
        <f>ROUND(IF(AE45=0,-1,AH45/(AE45)),3)</f>
        <v>-1</v>
      </c>
    </row>
    <row r="46" spans="1:37" ht="16.5" customHeight="1">
      <c r="A46" s="431"/>
      <c r="B46" s="431"/>
      <c r="C46" s="714"/>
      <c r="D46" s="443"/>
      <c r="E46" s="714"/>
      <c r="F46" s="457"/>
      <c r="G46" s="714"/>
      <c r="H46" s="457"/>
      <c r="I46" s="714"/>
      <c r="J46" s="457"/>
      <c r="K46" s="714"/>
      <c r="L46" s="457"/>
      <c r="M46" s="714"/>
      <c r="N46" s="457"/>
      <c r="O46" s="714"/>
      <c r="P46" s="457"/>
      <c r="Q46" s="714"/>
      <c r="R46" s="457"/>
      <c r="S46" s="714"/>
      <c r="T46" s="457"/>
      <c r="U46" s="715"/>
      <c r="V46" s="457"/>
      <c r="W46" s="715"/>
      <c r="X46" s="457"/>
      <c r="Y46" s="715"/>
      <c r="Z46" s="443"/>
      <c r="AA46" s="444"/>
      <c r="AB46" s="714"/>
      <c r="AC46" s="443"/>
      <c r="AD46" s="444"/>
      <c r="AE46" s="714"/>
      <c r="AF46" s="372"/>
      <c r="AG46" s="2530"/>
      <c r="AH46" s="2543"/>
      <c r="AJ46" s="3292"/>
    </row>
    <row r="47" spans="1:37" ht="16.5" customHeight="1">
      <c r="A47" s="440" t="s">
        <v>220</v>
      </c>
      <c r="B47" s="431"/>
      <c r="C47" s="720">
        <f>ROUND(SUM(C44:C46),1)</f>
        <v>0</v>
      </c>
      <c r="D47" s="445"/>
      <c r="E47" s="720">
        <f>ROUND(SUM(E44:E46),1)</f>
        <v>0</v>
      </c>
      <c r="F47" s="458"/>
      <c r="G47" s="720">
        <f>ROUND(SUM(G44:G46),1)</f>
        <v>0</v>
      </c>
      <c r="H47" s="458"/>
      <c r="I47" s="720">
        <f>ROUND(SUM(I44:I46),1)</f>
        <v>0</v>
      </c>
      <c r="J47" s="458"/>
      <c r="K47" s="720">
        <f>ROUND(SUM(K44:K46),1)</f>
        <v>0</v>
      </c>
      <c r="L47" s="458"/>
      <c r="M47" s="720">
        <f>ROUND(SUM(M44:M46),1)</f>
        <v>-0.3</v>
      </c>
      <c r="N47" s="458"/>
      <c r="O47" s="720">
        <f>ROUND(SUM(O44:O46),1)</f>
        <v>0</v>
      </c>
      <c r="P47" s="458"/>
      <c r="Q47" s="720">
        <f>ROUND(SUM(Q44:Q46),1)</f>
        <v>0</v>
      </c>
      <c r="R47" s="458"/>
      <c r="S47" s="720">
        <f>ROUND(SUM(S44:S46),1)</f>
        <v>0</v>
      </c>
      <c r="T47" s="458"/>
      <c r="U47" s="720">
        <f>ROUND(SUM(U44:U46),1)</f>
        <v>0</v>
      </c>
      <c r="V47" s="458"/>
      <c r="W47" s="720">
        <f>ROUND(SUM(W44:W46),1)</f>
        <v>0</v>
      </c>
      <c r="X47" s="458"/>
      <c r="Y47" s="720">
        <f>ROUND(SUM(Y44:Y46),1)</f>
        <v>0</v>
      </c>
      <c r="Z47" s="445"/>
      <c r="AA47" s="446"/>
      <c r="AB47" s="3164">
        <f>ROUND(SUM(AB44+AB45),1)</f>
        <v>-0.3</v>
      </c>
      <c r="AC47" s="716"/>
      <c r="AD47" s="445"/>
      <c r="AE47" s="3164">
        <f>ROUND(SUM(AE44-AE45),1)</f>
        <v>0</v>
      </c>
      <c r="AF47" s="227"/>
      <c r="AG47" s="2527"/>
      <c r="AH47" s="2550">
        <f>ROUND(SUM(AH44:AH45),1)</f>
        <v>-0.3</v>
      </c>
      <c r="AI47" s="2561"/>
      <c r="AJ47" s="3293">
        <f>-ROUND(IF(AE47=0,1,AH47/(AE47)),3)</f>
        <v>-1</v>
      </c>
    </row>
    <row r="48" spans="1:37" ht="16.5" customHeight="1">
      <c r="A48" s="431"/>
      <c r="B48" s="431"/>
      <c r="C48" s="714"/>
      <c r="D48" s="443"/>
      <c r="E48" s="715"/>
      <c r="F48" s="457"/>
      <c r="G48" s="715"/>
      <c r="H48" s="457"/>
      <c r="I48" s="715"/>
      <c r="J48" s="457"/>
      <c r="K48" s="715"/>
      <c r="L48" s="457"/>
      <c r="M48" s="715"/>
      <c r="N48" s="457"/>
      <c r="O48" s="715"/>
      <c r="P48" s="457"/>
      <c r="Q48" s="715"/>
      <c r="R48" s="457"/>
      <c r="S48" s="715"/>
      <c r="T48" s="457"/>
      <c r="U48" s="715"/>
      <c r="V48" s="457"/>
      <c r="W48" s="715"/>
      <c r="X48" s="457"/>
      <c r="Y48" s="715"/>
      <c r="Z48" s="443"/>
      <c r="AA48" s="444"/>
      <c r="AB48" s="714"/>
      <c r="AC48" s="443"/>
      <c r="AD48" s="444"/>
      <c r="AE48" s="714"/>
      <c r="AG48" s="2527"/>
      <c r="AH48" s="2543"/>
    </row>
    <row r="49" spans="1:39" ht="16.5" customHeight="1">
      <c r="A49" s="431"/>
      <c r="B49" s="431"/>
      <c r="C49" s="443"/>
      <c r="D49" s="443"/>
      <c r="E49" s="457"/>
      <c r="F49" s="457"/>
      <c r="G49" s="457"/>
      <c r="H49" s="457"/>
      <c r="I49" s="457"/>
      <c r="J49" s="457"/>
      <c r="K49" s="457"/>
      <c r="L49" s="457"/>
      <c r="M49" s="457"/>
      <c r="N49" s="457"/>
      <c r="O49" s="457"/>
      <c r="P49" s="457"/>
      <c r="Q49" s="457"/>
      <c r="R49" s="457"/>
      <c r="S49" s="457"/>
      <c r="T49" s="457"/>
      <c r="U49" s="457"/>
      <c r="V49" s="457"/>
      <c r="W49" s="457"/>
      <c r="X49" s="457"/>
      <c r="Y49" s="457"/>
      <c r="Z49" s="443"/>
      <c r="AA49" s="444"/>
      <c r="AB49" s="443"/>
      <c r="AC49" s="443"/>
      <c r="AD49" s="444"/>
      <c r="AE49" s="443"/>
      <c r="AG49" s="2527"/>
      <c r="AH49" s="2543"/>
    </row>
    <row r="50" spans="1:39" ht="16.5" customHeight="1">
      <c r="A50" s="431"/>
      <c r="B50" s="431"/>
      <c r="C50" s="443"/>
      <c r="D50" s="443"/>
      <c r="E50" s="457"/>
      <c r="F50" s="457"/>
      <c r="G50" s="457"/>
      <c r="H50" s="457"/>
      <c r="I50" s="457"/>
      <c r="J50" s="457"/>
      <c r="K50" s="457"/>
      <c r="L50" s="457"/>
      <c r="M50" s="457"/>
      <c r="N50" s="457"/>
      <c r="O50" s="457"/>
      <c r="P50" s="457"/>
      <c r="Q50" s="457"/>
      <c r="R50" s="457"/>
      <c r="S50" s="457"/>
      <c r="T50" s="457"/>
      <c r="U50" s="457"/>
      <c r="V50" s="457"/>
      <c r="W50" s="457"/>
      <c r="X50" s="457"/>
      <c r="Y50" s="457"/>
      <c r="Z50" s="443"/>
      <c r="AA50" s="444"/>
      <c r="AB50" s="443"/>
      <c r="AC50" s="443"/>
      <c r="AD50" s="444"/>
      <c r="AE50" s="443"/>
      <c r="AG50" s="2527"/>
    </row>
    <row r="51" spans="1:39" ht="16.5" customHeight="1">
      <c r="A51" s="440" t="s">
        <v>174</v>
      </c>
      <c r="B51" s="431"/>
      <c r="C51" s="443"/>
      <c r="D51" s="443"/>
      <c r="E51" s="457"/>
      <c r="F51" s="457"/>
      <c r="G51" s="457"/>
      <c r="H51" s="457"/>
      <c r="I51" s="457"/>
      <c r="J51" s="457"/>
      <c r="K51" s="457"/>
      <c r="L51" s="457"/>
      <c r="M51" s="457"/>
      <c r="N51" s="457"/>
      <c r="O51" s="457"/>
      <c r="P51" s="457"/>
      <c r="Q51" s="457"/>
      <c r="R51" s="457"/>
      <c r="S51" s="457"/>
      <c r="T51" s="457"/>
      <c r="U51" s="457"/>
      <c r="V51" s="457"/>
      <c r="W51" s="457"/>
      <c r="X51" s="457"/>
      <c r="Y51" s="457"/>
      <c r="Z51" s="443"/>
      <c r="AA51" s="444"/>
      <c r="AB51" s="443"/>
      <c r="AC51" s="443"/>
      <c r="AD51" s="444"/>
      <c r="AE51" s="443"/>
      <c r="AG51" s="2527"/>
    </row>
    <row r="52" spans="1:39" ht="16.5" customHeight="1">
      <c r="A52" s="440" t="s">
        <v>240</v>
      </c>
      <c r="B52" s="431"/>
      <c r="C52" s="443"/>
      <c r="D52" s="443"/>
      <c r="E52" s="457"/>
      <c r="F52" s="457"/>
      <c r="G52" s="457"/>
      <c r="H52" s="457"/>
      <c r="I52" s="457"/>
      <c r="J52" s="457"/>
      <c r="K52" s="721"/>
      <c r="L52" s="457"/>
      <c r="M52" s="457"/>
      <c r="N52" s="457"/>
      <c r="O52" s="457"/>
      <c r="P52" s="457"/>
      <c r="Q52" s="457"/>
      <c r="R52" s="457"/>
      <c r="S52" s="457"/>
      <c r="T52" s="457"/>
      <c r="U52" s="457"/>
      <c r="V52" s="457"/>
      <c r="W52" s="457"/>
      <c r="X52" s="457"/>
      <c r="Y52" s="457"/>
      <c r="Z52" s="443"/>
      <c r="AA52" s="444"/>
      <c r="AB52" s="443"/>
      <c r="AC52" s="443"/>
      <c r="AD52" s="444"/>
      <c r="AE52" s="443"/>
      <c r="AG52" s="2527"/>
    </row>
    <row r="53" spans="1:39" ht="16.5" customHeight="1">
      <c r="A53" s="440" t="s">
        <v>176</v>
      </c>
      <c r="B53" s="431"/>
      <c r="C53" s="458">
        <f>ROUND(C39+C47,1)</f>
        <v>24.8</v>
      </c>
      <c r="D53" s="445"/>
      <c r="E53" s="458">
        <f>ROUND(E39+E47,1)</f>
        <v>9</v>
      </c>
      <c r="F53" s="458"/>
      <c r="G53" s="458">
        <f>ROUND(G39+G47,1)</f>
        <v>-17.8</v>
      </c>
      <c r="H53" s="458"/>
      <c r="I53" s="458">
        <f>ROUND(I39+I47,1)</f>
        <v>26.5</v>
      </c>
      <c r="J53" s="458"/>
      <c r="K53" s="1999">
        <f>ROUND(K39+K47,1)</f>
        <v>31</v>
      </c>
      <c r="L53" s="458"/>
      <c r="M53" s="458">
        <f>ROUND(M39+M47,1)</f>
        <v>-79</v>
      </c>
      <c r="N53" s="458"/>
      <c r="O53" s="458">
        <f>ROUND(O39+O47,1)</f>
        <v>19.399999999999999</v>
      </c>
      <c r="P53" s="458"/>
      <c r="Q53" s="458">
        <f>ROUND(Q39+Q47,1)</f>
        <v>0</v>
      </c>
      <c r="R53" s="458"/>
      <c r="S53" s="458">
        <f>ROUND(S39+S47,1)</f>
        <v>0</v>
      </c>
      <c r="T53" s="458"/>
      <c r="U53" s="458">
        <f>ROUND(U39+U47,1)</f>
        <v>0</v>
      </c>
      <c r="V53" s="458"/>
      <c r="W53" s="458">
        <f>ROUND(W39+W47,1)</f>
        <v>0</v>
      </c>
      <c r="X53" s="458"/>
      <c r="Y53" s="458">
        <f>ROUND(Y39+Y47,1)</f>
        <v>0</v>
      </c>
      <c r="Z53" s="445"/>
      <c r="AA53" s="446"/>
      <c r="AB53" s="458">
        <f>ROUND(AB39+AB47,1)</f>
        <v>13.9</v>
      </c>
      <c r="AC53" s="716"/>
      <c r="AD53" s="445"/>
      <c r="AE53" s="458">
        <f>ROUND(AE39+AE47,1)</f>
        <v>2.7</v>
      </c>
      <c r="AG53" s="2527"/>
      <c r="AH53" s="2550">
        <f>ROUND(SUM(AH39+AH47),1)</f>
        <v>11.2</v>
      </c>
      <c r="AI53" s="2523"/>
      <c r="AJ53" s="2552">
        <f>ROUND(IF(AH53=0,0,AH53/ABS(AE53)),3)</f>
        <v>4.1479999999999997</v>
      </c>
      <c r="AK53" s="708"/>
      <c r="AL53" s="708"/>
      <c r="AM53" s="708"/>
    </row>
    <row r="54" spans="1:39" ht="16.5" customHeight="1">
      <c r="A54" s="431"/>
      <c r="B54" s="431"/>
      <c r="C54" s="722"/>
      <c r="D54" s="440"/>
      <c r="E54" s="723"/>
      <c r="F54" s="724"/>
      <c r="G54" s="723"/>
      <c r="H54" s="724"/>
      <c r="I54" s="723"/>
      <c r="J54" s="724"/>
      <c r="K54" s="725"/>
      <c r="L54" s="724"/>
      <c r="M54" s="723"/>
      <c r="N54" s="724"/>
      <c r="O54" s="723"/>
      <c r="P54" s="724"/>
      <c r="Q54" s="723"/>
      <c r="R54" s="724"/>
      <c r="S54" s="723"/>
      <c r="T54" s="724"/>
      <c r="U54" s="723"/>
      <c r="V54" s="724"/>
      <c r="W54" s="723"/>
      <c r="X54" s="724"/>
      <c r="Y54" s="723"/>
      <c r="Z54" s="440"/>
      <c r="AA54" s="726"/>
      <c r="AB54" s="722"/>
      <c r="AC54" s="440"/>
      <c r="AD54" s="726"/>
      <c r="AE54" s="722"/>
      <c r="AG54" s="2527"/>
      <c r="AJ54" s="2534"/>
      <c r="AK54" s="708"/>
      <c r="AL54" s="708"/>
      <c r="AM54" s="708"/>
    </row>
    <row r="55" spans="1:39" ht="16.5" customHeight="1" thickBot="1">
      <c r="A55" s="440" t="s">
        <v>148</v>
      </c>
      <c r="B55" s="431"/>
      <c r="C55" s="438">
        <f>ROUND(C16+C53,1)</f>
        <v>87.3</v>
      </c>
      <c r="D55" s="438"/>
      <c r="E55" s="438">
        <f>ROUND(E16+E53,1)</f>
        <v>96.3</v>
      </c>
      <c r="F55" s="707"/>
      <c r="G55" s="438">
        <f>ROUND(G16+G53,1)</f>
        <v>78.5</v>
      </c>
      <c r="H55" s="707"/>
      <c r="I55" s="2001">
        <f>ROUND(I16+I53,1)</f>
        <v>105</v>
      </c>
      <c r="J55" s="727"/>
      <c r="K55" s="438">
        <f>ROUND(K16+K53,1)</f>
        <v>136</v>
      </c>
      <c r="L55" s="727"/>
      <c r="M55" s="438">
        <f>ROUND(M16+M53,1)</f>
        <v>57</v>
      </c>
      <c r="N55" s="707"/>
      <c r="O55" s="438">
        <f>ROUND(O16+O53,1)</f>
        <v>76.400000000000006</v>
      </c>
      <c r="P55" s="707"/>
      <c r="Q55" s="438">
        <f>ROUND(Q16+Q53,1)</f>
        <v>0</v>
      </c>
      <c r="R55" s="707"/>
      <c r="S55" s="438">
        <f>ROUND(S16+S53,1)</f>
        <v>0</v>
      </c>
      <c r="T55" s="707"/>
      <c r="U55" s="438">
        <f>ROUND(U16+U53,1)</f>
        <v>0</v>
      </c>
      <c r="V55" s="707"/>
      <c r="W55" s="438">
        <f>ROUND(W16+W53,1)</f>
        <v>0</v>
      </c>
      <c r="X55" s="707"/>
      <c r="Y55" s="438">
        <f>ROUND(Y16+Y53,1)</f>
        <v>0</v>
      </c>
      <c r="Z55" s="438"/>
      <c r="AA55" s="439"/>
      <c r="AB55" s="438">
        <f>ROUND(AB16+AB53,1)</f>
        <v>76.400000000000006</v>
      </c>
      <c r="AC55" s="438"/>
      <c r="AD55" s="439"/>
      <c r="AE55" s="438">
        <f>ROUND(AE16+AE53,1)</f>
        <v>86.4</v>
      </c>
      <c r="AG55" s="2527"/>
      <c r="AH55" s="2562">
        <f>ROUND(SUM(AB55-AE55),1)</f>
        <v>-10</v>
      </c>
      <c r="AI55" s="2560"/>
      <c r="AJ55" s="2563">
        <f>ROUND(IF(AH55=0,0,AH55/(AE55)),3)</f>
        <v>-0.11600000000000001</v>
      </c>
      <c r="AK55" s="708"/>
      <c r="AL55" s="708"/>
      <c r="AM55" s="708"/>
    </row>
    <row r="56" spans="1:39" ht="16.5" customHeight="1" thickTop="1">
      <c r="A56" s="433"/>
      <c r="B56" s="433"/>
      <c r="C56" s="728"/>
      <c r="D56" s="433"/>
      <c r="E56" s="728"/>
      <c r="F56" s="433"/>
      <c r="G56" s="728"/>
      <c r="H56" s="433"/>
      <c r="I56" s="450"/>
      <c r="J56" s="450"/>
      <c r="K56" s="728"/>
      <c r="L56" s="450"/>
      <c r="M56" s="728"/>
      <c r="N56" s="433"/>
      <c r="O56" s="728"/>
      <c r="P56" s="433"/>
      <c r="Q56" s="728"/>
      <c r="R56" s="433"/>
      <c r="S56" s="728"/>
      <c r="T56" s="433"/>
      <c r="U56" s="728"/>
      <c r="V56" s="433"/>
      <c r="W56" s="728"/>
      <c r="X56" s="433"/>
      <c r="Y56" s="728"/>
      <c r="Z56" s="433"/>
      <c r="AA56" s="433"/>
      <c r="AB56" s="728"/>
      <c r="AC56" s="433"/>
      <c r="AD56" s="433"/>
      <c r="AE56" s="728"/>
    </row>
    <row r="57" spans="1:39" ht="16.5" customHeight="1">
      <c r="A57" s="459"/>
    </row>
    <row r="58" spans="1:39" ht="16.5" customHeight="1">
      <c r="A58" s="459"/>
    </row>
    <row r="59" spans="1:39" ht="16.5" customHeight="1">
      <c r="A59" s="459"/>
    </row>
    <row r="60" spans="1:39" ht="16.5" customHeight="1">
      <c r="A60" s="459"/>
    </row>
    <row r="61" spans="1:39" ht="16.5" customHeight="1">
      <c r="A61" s="459"/>
    </row>
  </sheetData>
  <customSheetViews>
    <customSheetView guid="{BD09DBC2-63A5-4D9C-9B00-4281066E9389}" scale="60" showPageBreaks="1" showGridLines="0" outlineSymbols="0" fitToPage="1" printArea="1" topLeftCell="A19">
      <selection activeCell="AJ53" sqref="AJ53"/>
      <pageMargins left="0.5" right="0.5" top="0.5" bottom="0.5" header="0" footer="0.25"/>
      <pageSetup scale="42" firstPageNumber="34" orientation="landscape" useFirstPageNumber="1" r:id="rId1"/>
      <headerFooter scaleWithDoc="0" alignWithMargins="0">
        <oddFooter>&amp;C&amp;8 &amp;P</oddFooter>
      </headerFooter>
    </customSheetView>
    <customSheetView guid="{C82E0A7D-2B5B-48FC-A705-3168E651E04C}" scale="60" showPageBreaks="1" showGridLines="0" outlineSymbols="0" fitToPage="1" printArea="1">
      <selection activeCell="AH30" sqref="AH30"/>
      <pageMargins left="0.5" right="0.5" top="0.5" bottom="0.5" header="0" footer="0.25"/>
      <pageSetup scale="42" orientation="landscape" r:id="rId2"/>
      <headerFooter scaleWithDoc="0" alignWithMargins="0">
        <oddFooter>&amp;C&amp;8 34</oddFooter>
      </headerFooter>
    </customSheetView>
    <customSheetView guid="{A8B05C3B-0E7E-44A3-A097-AF4C5C09F04E}" scale="60" showPageBreaks="1" showGridLines="0" outlineSymbols="0" fitToPage="1" printArea="1">
      <selection activeCell="S51" sqref="S51"/>
      <pageMargins left="0.5" right="0.5" top="0.5" bottom="0.5" header="0" footer="0.25"/>
      <pageSetup scale="42" orientation="landscape" r:id="rId3"/>
      <headerFooter scaleWithDoc="0" alignWithMargins="0">
        <oddFooter>&amp;C&amp;8 34</oddFooter>
      </headerFooter>
    </customSheetView>
    <customSheetView guid="{8EE6466D-211E-4E05-9F84-CC0A1C6F79F4}" scale="60" showGridLines="0" outlineSymbols="0" fitToPage="1">
      <selection activeCell="AH30" sqref="AH30"/>
      <pageMargins left="0.5" right="0.5" top="0.5" bottom="0.5" header="0" footer="0.25"/>
      <pageSetup scale="42" orientation="landscape" r:id="rId4"/>
      <headerFooter scaleWithDoc="0" alignWithMargins="0">
        <oddFooter>&amp;C&amp;8 34</oddFooter>
      </headerFooter>
    </customSheetView>
    <customSheetView guid="{4735AAE3-27B4-4549-AAB4-50ACA997F5F5}" scale="60" showPageBreaks="1" showGridLines="0" outlineSymbols="0" fitToPage="1" printArea="1" topLeftCell="B19">
      <selection activeCell="AJ63" sqref="AJ63"/>
      <pageMargins left="0.5" right="0.5" top="0.5" bottom="0.5" header="0" footer="0.25"/>
      <pageSetup scale="42" orientation="landscape" r:id="rId5"/>
      <headerFooter scaleWithDoc="0" alignWithMargins="0">
        <oddFooter>&amp;C&amp;8 34</oddFooter>
      </headerFooter>
    </customSheetView>
    <customSheetView guid="{80622567-647A-4891-B8EE-6B9E2C4DAC44}" scale="60" showPageBreaks="1" showGridLines="0" outlineSymbols="0" fitToPage="1" printArea="1" topLeftCell="A13">
      <selection activeCell="AH45" sqref="AH45"/>
      <pageMargins left="0.5" right="0.5" top="0.5" bottom="0.5" header="0" footer="0.25"/>
      <pageSetup scale="42" orientation="landscape" r:id="rId6"/>
      <headerFooter scaleWithDoc="0" alignWithMargins="0">
        <oddFooter>&amp;C&amp;8 34</oddFooter>
      </headerFooter>
    </customSheetView>
    <customSheetView guid="{A97EE6C3-4DA8-41BD-BE43-F596EFCB43CA}" scale="60" showPageBreaks="1" showGridLines="0" outlineSymbols="0" fitToPage="1" printArea="1" topLeftCell="A13">
      <selection activeCell="AB14" sqref="AB14"/>
      <pageMargins left="0.5" right="0.5" top="0.5" bottom="0.5" header="0" footer="0.25"/>
      <pageSetup scale="42" orientation="landscape" r:id="rId7"/>
      <headerFooter scaleWithDoc="0" alignWithMargins="0">
        <oddFooter>&amp;C&amp;8 34</oddFooter>
      </headerFooter>
    </customSheetView>
    <customSheetView guid="{90B76C5A-2FC4-40F0-8436-3E4F075A4887}" scale="70" showPageBreaks="1" showGridLines="0" outlineSymbols="0" fitToPage="1" printArea="1" topLeftCell="E22">
      <selection activeCell="AB14" sqref="AB14"/>
      <pageMargins left="0.5" right="0.5" top="0.5" bottom="0.5" header="0" footer="0.25"/>
      <pageSetup scale="42" orientation="landscape" r:id="rId8"/>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9"/>
  <headerFooter scaleWithDoc="0" alignWithMargins="0">
    <oddFooter>&amp;C&amp;8 &amp;P</oddFooter>
  </headerFooter>
  <ignoredErrors>
    <ignoredError sqref="C13" numberStoredAsText="1"/>
    <ignoredError sqref="AJ19:AJ21" unlockedFormula="1"/>
  </ignoredErrors>
</worksheet>
</file>

<file path=xl/worksheets/sheet27.xml><?xml version="1.0" encoding="utf-8"?>
<worksheet xmlns="http://schemas.openxmlformats.org/spreadsheetml/2006/main" xmlns:r="http://schemas.openxmlformats.org/officeDocument/2006/relationships">
  <sheetPr codeName="Sheet25">
    <pageSetUpPr fitToPage="1"/>
  </sheetPr>
  <dimension ref="A1:IQ54"/>
  <sheetViews>
    <sheetView showGridLines="0" showOutlineSymbols="0" zoomScale="60" zoomScaleNormal="70" workbookViewId="0"/>
  </sheetViews>
  <sheetFormatPr defaultColWidth="8.88671875" defaultRowHeight="16.5" customHeight="1"/>
  <cols>
    <col min="1" max="1" width="45.109375" style="415" customWidth="1"/>
    <col min="2" max="2" width="11" style="415" customWidth="1"/>
    <col min="3" max="3" width="1.6640625" style="415" customWidth="1"/>
    <col min="4" max="4" width="11" style="415" customWidth="1"/>
    <col min="5" max="5" width="1.6640625" style="415" customWidth="1"/>
    <col min="6" max="6" width="11.109375" style="415" customWidth="1"/>
    <col min="7" max="7" width="1.6640625" style="415" customWidth="1"/>
    <col min="8" max="8" width="11" style="415" customWidth="1"/>
    <col min="9" max="9" width="1.77734375" style="415" customWidth="1"/>
    <col min="10" max="10" width="9.77734375" style="415" customWidth="1"/>
    <col min="11" max="11" width="1.77734375" style="415" customWidth="1"/>
    <col min="12" max="12" width="13.33203125" style="415" customWidth="1"/>
    <col min="13" max="13" width="1.6640625" style="415" customWidth="1"/>
    <col min="14" max="14" width="11.109375" style="415" customWidth="1"/>
    <col min="15" max="15" width="1.6640625" style="415" customWidth="1"/>
    <col min="16" max="16" width="12.33203125" style="415" customWidth="1"/>
    <col min="17" max="17" width="1.6640625" style="415" customWidth="1"/>
    <col min="18" max="18" width="12" style="415" customWidth="1"/>
    <col min="19" max="19" width="1.6640625" style="415" customWidth="1"/>
    <col min="20" max="20" width="11.109375" style="415" customWidth="1"/>
    <col min="21" max="21" width="1.6640625" style="415" customWidth="1"/>
    <col min="22" max="22" width="11.77734375" style="415" customWidth="1"/>
    <col min="23" max="23" width="1.6640625" style="415" customWidth="1"/>
    <col min="24" max="24" width="11.109375" style="415" customWidth="1"/>
    <col min="25" max="26" width="1.6640625" style="415" customWidth="1"/>
    <col min="27" max="27" width="11.5546875" style="415" customWidth="1"/>
    <col min="28" max="29" width="1.6640625" style="415" customWidth="1"/>
    <col min="30" max="30" width="11.5546875" style="415" customWidth="1"/>
    <col min="31" max="31" width="1.77734375" style="755" customWidth="1"/>
    <col min="32" max="32" width="2.44140625" style="2533" customWidth="1"/>
    <col min="33" max="33" width="10.33203125" style="2534" bestFit="1" customWidth="1"/>
    <col min="34" max="34" width="1.6640625" style="2534" customWidth="1"/>
    <col min="35" max="35" width="11.109375" style="2533" customWidth="1"/>
    <col min="36" max="16384" width="8.88671875" style="415"/>
  </cols>
  <sheetData>
    <row r="1" spans="1:251" ht="16.5" customHeight="1">
      <c r="A1" s="1227" t="s">
        <v>1322</v>
      </c>
    </row>
    <row r="2" spans="1:251" ht="16.5" customHeight="1">
      <c r="A2" s="1874"/>
    </row>
    <row r="3" spans="1:251" ht="20.25" customHeight="1">
      <c r="A3" s="2262" t="s">
        <v>0</v>
      </c>
      <c r="B3" s="656"/>
      <c r="C3" s="729"/>
      <c r="D3" s="729"/>
      <c r="E3" s="729"/>
      <c r="F3" s="729"/>
      <c r="G3" s="729"/>
      <c r="H3" s="729"/>
      <c r="I3" s="729"/>
      <c r="J3" s="729"/>
      <c r="K3" s="729"/>
      <c r="L3" s="729"/>
      <c r="M3" s="729"/>
      <c r="N3" s="729"/>
      <c r="O3" s="729"/>
      <c r="P3" s="729"/>
      <c r="Q3" s="729"/>
      <c r="R3" s="729"/>
      <c r="S3" s="729"/>
      <c r="T3" s="729"/>
      <c r="U3" s="729"/>
      <c r="V3" s="729"/>
      <c r="W3" s="729"/>
      <c r="X3" s="729"/>
      <c r="Y3" s="729"/>
      <c r="Z3" s="729"/>
      <c r="AA3" s="729"/>
      <c r="AB3" s="729"/>
      <c r="AC3" s="729"/>
      <c r="AD3" s="729"/>
      <c r="AE3" s="227"/>
      <c r="AI3" s="2587" t="s">
        <v>236</v>
      </c>
      <c r="AJ3" s="729"/>
      <c r="AK3" s="729"/>
      <c r="AL3" s="729"/>
      <c r="AM3" s="729"/>
      <c r="AN3" s="729"/>
      <c r="AO3" s="729"/>
      <c r="AP3" s="729"/>
      <c r="AQ3" s="729"/>
      <c r="AR3" s="729"/>
      <c r="AS3" s="729"/>
      <c r="AT3" s="729"/>
      <c r="AU3" s="729"/>
      <c r="AV3" s="729"/>
      <c r="AW3" s="729"/>
      <c r="AX3" s="729"/>
      <c r="AY3" s="729"/>
      <c r="AZ3" s="729"/>
      <c r="BA3" s="729"/>
      <c r="BB3" s="729"/>
      <c r="BC3" s="729"/>
      <c r="BD3" s="729"/>
      <c r="BE3" s="729"/>
      <c r="BF3" s="729"/>
      <c r="BG3" s="729"/>
      <c r="BH3" s="729"/>
      <c r="BI3" s="729"/>
      <c r="BJ3" s="729"/>
      <c r="BK3" s="729"/>
      <c r="BL3" s="729"/>
      <c r="BM3" s="729"/>
      <c r="BN3" s="729"/>
      <c r="BO3" s="729"/>
      <c r="BP3" s="729"/>
      <c r="BQ3" s="729"/>
      <c r="BR3" s="729"/>
      <c r="BS3" s="729"/>
      <c r="BT3" s="729"/>
      <c r="BU3" s="729"/>
      <c r="BV3" s="729"/>
      <c r="BW3" s="729"/>
      <c r="BX3" s="729"/>
      <c r="BY3" s="729"/>
      <c r="BZ3" s="729"/>
      <c r="CA3" s="729"/>
      <c r="CB3" s="729"/>
      <c r="CC3" s="729"/>
      <c r="CD3" s="729"/>
      <c r="CE3" s="729"/>
      <c r="CF3" s="729"/>
      <c r="CG3" s="729"/>
      <c r="CH3" s="729"/>
      <c r="CI3" s="729"/>
      <c r="CJ3" s="729"/>
      <c r="CK3" s="729"/>
      <c r="CL3" s="729"/>
      <c r="CM3" s="729"/>
      <c r="CN3" s="729"/>
      <c r="CO3" s="729"/>
      <c r="CP3" s="729"/>
      <c r="CQ3" s="729"/>
      <c r="CR3" s="729"/>
      <c r="CS3" s="729"/>
      <c r="CT3" s="729"/>
      <c r="CU3" s="729"/>
      <c r="CV3" s="729"/>
      <c r="CW3" s="729"/>
      <c r="CX3" s="729"/>
      <c r="CY3" s="729"/>
      <c r="CZ3" s="729"/>
      <c r="DA3" s="729"/>
      <c r="DB3" s="729"/>
      <c r="DC3" s="729"/>
      <c r="DD3" s="729"/>
      <c r="DE3" s="729"/>
      <c r="DF3" s="729"/>
      <c r="DG3" s="729"/>
      <c r="DH3" s="729"/>
      <c r="DI3" s="729"/>
      <c r="DJ3" s="729"/>
      <c r="DK3" s="729"/>
      <c r="DL3" s="729"/>
      <c r="DM3" s="729"/>
      <c r="DN3" s="729"/>
      <c r="DO3" s="729"/>
      <c r="DP3" s="729"/>
      <c r="DQ3" s="729"/>
      <c r="DR3" s="729"/>
      <c r="DS3" s="729"/>
      <c r="DT3" s="729"/>
      <c r="DU3" s="729"/>
      <c r="DV3" s="729"/>
      <c r="DW3" s="729"/>
      <c r="DX3" s="729"/>
      <c r="DY3" s="729"/>
      <c r="DZ3" s="729"/>
      <c r="EA3" s="729"/>
      <c r="EB3" s="729"/>
      <c r="EC3" s="729"/>
      <c r="ED3" s="729"/>
      <c r="EE3" s="729"/>
      <c r="EF3" s="729"/>
      <c r="EG3" s="729"/>
      <c r="EH3" s="729"/>
      <c r="EI3" s="729"/>
      <c r="EJ3" s="729"/>
      <c r="EK3" s="729"/>
      <c r="EL3" s="729"/>
      <c r="EM3" s="729"/>
      <c r="EN3" s="729"/>
      <c r="EO3" s="729"/>
      <c r="EP3" s="729"/>
      <c r="EQ3" s="729"/>
      <c r="ER3" s="729"/>
      <c r="ES3" s="729"/>
      <c r="ET3" s="729"/>
      <c r="EU3" s="729"/>
      <c r="EV3" s="729"/>
      <c r="EW3" s="729"/>
      <c r="EX3" s="729"/>
      <c r="EY3" s="729"/>
      <c r="EZ3" s="729"/>
      <c r="FA3" s="729"/>
      <c r="FB3" s="729"/>
      <c r="FC3" s="729"/>
      <c r="FD3" s="729"/>
      <c r="FE3" s="729"/>
      <c r="FF3" s="729"/>
      <c r="FG3" s="729"/>
      <c r="FH3" s="729"/>
      <c r="FI3" s="729"/>
      <c r="FJ3" s="729"/>
      <c r="FK3" s="729"/>
      <c r="FL3" s="729"/>
      <c r="FM3" s="729"/>
      <c r="FN3" s="729"/>
      <c r="FO3" s="729"/>
      <c r="FP3" s="729"/>
      <c r="FQ3" s="729"/>
      <c r="FR3" s="729"/>
      <c r="FS3" s="729"/>
      <c r="FT3" s="729"/>
      <c r="FU3" s="729"/>
      <c r="FV3" s="729"/>
      <c r="FW3" s="729"/>
      <c r="FX3" s="729"/>
      <c r="FY3" s="729"/>
      <c r="FZ3" s="729"/>
      <c r="GA3" s="729"/>
      <c r="GB3" s="729"/>
      <c r="GC3" s="729"/>
      <c r="GD3" s="729"/>
      <c r="GE3" s="729"/>
      <c r="GF3" s="729"/>
      <c r="GG3" s="729"/>
      <c r="GH3" s="729"/>
      <c r="GI3" s="729"/>
      <c r="GJ3" s="729"/>
      <c r="GK3" s="729"/>
      <c r="GL3" s="729"/>
      <c r="GM3" s="729"/>
      <c r="GN3" s="729"/>
      <c r="GO3" s="729"/>
      <c r="GP3" s="729"/>
      <c r="GQ3" s="729"/>
      <c r="GR3" s="729"/>
      <c r="GS3" s="729"/>
      <c r="GT3" s="729"/>
      <c r="GU3" s="729"/>
      <c r="GV3" s="729"/>
      <c r="GW3" s="729"/>
      <c r="GX3" s="729"/>
      <c r="GY3" s="729"/>
      <c r="GZ3" s="729"/>
      <c r="HA3" s="729"/>
      <c r="HB3" s="729"/>
      <c r="HC3" s="729"/>
      <c r="HD3" s="729"/>
      <c r="HE3" s="729"/>
      <c r="HF3" s="729"/>
      <c r="HG3" s="729"/>
      <c r="HH3" s="729"/>
      <c r="HI3" s="729"/>
      <c r="HJ3" s="729"/>
      <c r="HK3" s="729"/>
      <c r="HL3" s="729"/>
      <c r="HM3" s="729"/>
      <c r="HN3" s="729"/>
      <c r="HO3" s="729"/>
      <c r="HP3" s="729"/>
      <c r="HQ3" s="729"/>
      <c r="HR3" s="729"/>
      <c r="HS3" s="729"/>
      <c r="HT3" s="729"/>
      <c r="HU3" s="729"/>
      <c r="HV3" s="729"/>
      <c r="HW3" s="729"/>
      <c r="HX3" s="729"/>
      <c r="HY3" s="729"/>
      <c r="HZ3" s="729"/>
      <c r="IA3" s="729"/>
      <c r="IB3" s="729"/>
      <c r="IC3" s="729"/>
      <c r="ID3" s="729"/>
      <c r="IE3" s="729"/>
      <c r="IF3" s="729"/>
      <c r="IG3" s="729"/>
      <c r="IH3" s="729"/>
      <c r="II3" s="729"/>
      <c r="IJ3" s="729"/>
      <c r="IK3" s="729"/>
      <c r="IL3" s="729"/>
      <c r="IM3" s="729"/>
      <c r="IN3" s="729"/>
      <c r="IO3" s="729"/>
      <c r="IP3" s="729"/>
      <c r="IQ3" s="729"/>
    </row>
    <row r="4" spans="1:251" ht="22.5" customHeight="1">
      <c r="A4" s="2262" t="s">
        <v>234</v>
      </c>
      <c r="B4" s="656"/>
      <c r="C4" s="729"/>
      <c r="D4" s="729"/>
      <c r="E4" s="729"/>
      <c r="F4" s="729"/>
      <c r="G4" s="729"/>
      <c r="H4" s="656" t="s">
        <v>16</v>
      </c>
      <c r="I4" s="729"/>
      <c r="J4" s="729"/>
      <c r="K4" s="729"/>
      <c r="L4" s="729"/>
      <c r="M4" s="729"/>
      <c r="N4" s="729"/>
      <c r="O4" s="729"/>
      <c r="P4" s="729"/>
      <c r="Q4" s="729"/>
      <c r="R4" s="729"/>
      <c r="S4" s="729"/>
      <c r="T4" s="729"/>
      <c r="U4" s="729"/>
      <c r="V4" s="729"/>
      <c r="W4" s="729"/>
      <c r="X4" s="729" t="s">
        <v>16</v>
      </c>
      <c r="Y4" s="729"/>
      <c r="Z4" s="729"/>
      <c r="AA4" s="729"/>
      <c r="AB4" s="729"/>
      <c r="AC4" s="729"/>
      <c r="AD4" s="729"/>
      <c r="AE4" s="227"/>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729"/>
      <c r="BQ4" s="729"/>
      <c r="BR4" s="729"/>
      <c r="BS4" s="729"/>
      <c r="BT4" s="729"/>
      <c r="BU4" s="729"/>
      <c r="BV4" s="729"/>
      <c r="BW4" s="729"/>
      <c r="BX4" s="729"/>
      <c r="BY4" s="729"/>
      <c r="BZ4" s="729"/>
      <c r="CA4" s="729"/>
      <c r="CB4" s="729"/>
      <c r="CC4" s="729"/>
      <c r="CD4" s="729"/>
      <c r="CE4" s="729"/>
      <c r="CF4" s="729"/>
      <c r="CG4" s="729"/>
      <c r="CH4" s="729"/>
      <c r="CI4" s="729"/>
      <c r="CJ4" s="729"/>
      <c r="CK4" s="729"/>
      <c r="CL4" s="729"/>
      <c r="CM4" s="729"/>
      <c r="CN4" s="729"/>
      <c r="CO4" s="729"/>
      <c r="CP4" s="729"/>
      <c r="CQ4" s="729"/>
      <c r="CR4" s="729"/>
      <c r="CS4" s="729"/>
      <c r="CT4" s="729"/>
      <c r="CU4" s="729"/>
      <c r="CV4" s="729"/>
      <c r="CW4" s="729"/>
      <c r="CX4" s="729"/>
      <c r="CY4" s="729"/>
      <c r="CZ4" s="729"/>
      <c r="DA4" s="729"/>
      <c r="DB4" s="729"/>
      <c r="DC4" s="729"/>
      <c r="DD4" s="729"/>
      <c r="DE4" s="729"/>
      <c r="DF4" s="729"/>
      <c r="DG4" s="729"/>
      <c r="DH4" s="729"/>
      <c r="DI4" s="729"/>
      <c r="DJ4" s="729"/>
      <c r="DK4" s="729"/>
      <c r="DL4" s="729"/>
      <c r="DM4" s="729"/>
      <c r="DN4" s="729"/>
      <c r="DO4" s="729"/>
      <c r="DP4" s="729"/>
      <c r="DQ4" s="729"/>
      <c r="DR4" s="729"/>
      <c r="DS4" s="729"/>
      <c r="DT4" s="729"/>
      <c r="DU4" s="729"/>
      <c r="DV4" s="729"/>
      <c r="DW4" s="729"/>
      <c r="DX4" s="729"/>
      <c r="DY4" s="729"/>
      <c r="DZ4" s="729"/>
      <c r="EA4" s="729"/>
      <c r="EB4" s="729"/>
      <c r="EC4" s="729"/>
      <c r="ED4" s="729"/>
      <c r="EE4" s="729"/>
      <c r="EF4" s="729"/>
      <c r="EG4" s="729"/>
      <c r="EH4" s="729"/>
      <c r="EI4" s="729"/>
      <c r="EJ4" s="729"/>
      <c r="EK4" s="729"/>
      <c r="EL4" s="729"/>
      <c r="EM4" s="729"/>
      <c r="EN4" s="729"/>
      <c r="EO4" s="729"/>
      <c r="EP4" s="729"/>
      <c r="EQ4" s="729"/>
      <c r="ER4" s="729"/>
      <c r="ES4" s="729"/>
      <c r="ET4" s="729"/>
      <c r="EU4" s="729"/>
      <c r="EV4" s="729"/>
      <c r="EW4" s="729"/>
      <c r="EX4" s="729"/>
      <c r="EY4" s="729"/>
      <c r="EZ4" s="729"/>
      <c r="FA4" s="729"/>
      <c r="FB4" s="729"/>
      <c r="FC4" s="729"/>
      <c r="FD4" s="729"/>
      <c r="FE4" s="729"/>
      <c r="FF4" s="729"/>
      <c r="FG4" s="729"/>
      <c r="FH4" s="729"/>
      <c r="FI4" s="729"/>
      <c r="FJ4" s="729"/>
      <c r="FK4" s="729"/>
      <c r="FL4" s="729"/>
      <c r="FM4" s="729"/>
      <c r="FN4" s="729"/>
      <c r="FO4" s="729"/>
      <c r="FP4" s="729"/>
      <c r="FQ4" s="729"/>
      <c r="FR4" s="729"/>
      <c r="FS4" s="729"/>
      <c r="FT4" s="729"/>
      <c r="FU4" s="729"/>
      <c r="FV4" s="729"/>
      <c r="FW4" s="729"/>
      <c r="FX4" s="729"/>
      <c r="FY4" s="729"/>
      <c r="FZ4" s="729"/>
      <c r="GA4" s="729"/>
      <c r="GB4" s="729"/>
      <c r="GC4" s="729"/>
      <c r="GD4" s="729"/>
      <c r="GE4" s="729"/>
      <c r="GF4" s="729"/>
      <c r="GG4" s="729"/>
      <c r="GH4" s="729"/>
      <c r="GI4" s="729"/>
      <c r="GJ4" s="729"/>
      <c r="GK4" s="729"/>
      <c r="GL4" s="729"/>
      <c r="GM4" s="729"/>
      <c r="GN4" s="729"/>
      <c r="GO4" s="729"/>
      <c r="GP4" s="729"/>
      <c r="GQ4" s="729"/>
      <c r="GR4" s="729"/>
      <c r="GS4" s="729"/>
      <c r="GT4" s="729"/>
      <c r="GU4" s="729"/>
      <c r="GV4" s="729"/>
      <c r="GW4" s="729"/>
      <c r="GX4" s="729"/>
      <c r="GY4" s="729"/>
      <c r="GZ4" s="729"/>
      <c r="HA4" s="729"/>
      <c r="HB4" s="729"/>
      <c r="HC4" s="729"/>
      <c r="HD4" s="729"/>
      <c r="HE4" s="729"/>
      <c r="HF4" s="729"/>
      <c r="HG4" s="729"/>
      <c r="HH4" s="729"/>
      <c r="HI4" s="729"/>
      <c r="HJ4" s="729"/>
      <c r="HK4" s="729"/>
      <c r="HL4" s="729"/>
      <c r="HM4" s="729"/>
      <c r="HN4" s="729"/>
      <c r="HO4" s="729"/>
      <c r="HP4" s="729"/>
      <c r="HQ4" s="729"/>
      <c r="HR4" s="729"/>
      <c r="HS4" s="729"/>
      <c r="HT4" s="729"/>
      <c r="HU4" s="729"/>
      <c r="HV4" s="729"/>
      <c r="HW4" s="729"/>
      <c r="HX4" s="729"/>
      <c r="HY4" s="729"/>
      <c r="HZ4" s="729"/>
      <c r="IA4" s="729"/>
      <c r="IB4" s="729"/>
      <c r="IC4" s="729"/>
      <c r="ID4" s="729"/>
      <c r="IE4" s="729"/>
      <c r="IF4" s="729"/>
      <c r="IG4" s="729"/>
      <c r="IH4" s="729"/>
      <c r="II4" s="729"/>
      <c r="IJ4" s="729"/>
      <c r="IK4" s="729"/>
      <c r="IL4" s="729"/>
      <c r="IM4" s="729"/>
      <c r="IN4" s="729"/>
      <c r="IO4" s="729"/>
      <c r="IP4" s="729"/>
      <c r="IQ4" s="729"/>
    </row>
    <row r="5" spans="1:251" ht="20.25" customHeight="1">
      <c r="A5" s="2262" t="s">
        <v>235</v>
      </c>
      <c r="B5" s="656"/>
      <c r="C5" s="729"/>
      <c r="D5" s="729"/>
      <c r="E5" s="729"/>
      <c r="F5" s="729"/>
      <c r="G5" s="729"/>
      <c r="H5" s="729"/>
      <c r="I5" s="729"/>
      <c r="J5" s="729"/>
      <c r="K5" s="729"/>
      <c r="L5" s="729"/>
      <c r="M5" s="729"/>
      <c r="N5" s="729"/>
      <c r="O5" s="729"/>
      <c r="P5" s="729"/>
      <c r="Q5" s="729"/>
      <c r="R5" s="729"/>
      <c r="S5" s="729"/>
      <c r="T5" s="729"/>
      <c r="U5" s="729"/>
      <c r="V5" s="729"/>
      <c r="W5" s="729"/>
      <c r="X5" s="729"/>
      <c r="Y5" s="729"/>
      <c r="Z5" s="729"/>
      <c r="AB5" s="2253"/>
      <c r="AC5" s="2253"/>
      <c r="AD5" s="2253"/>
      <c r="AE5" s="1884"/>
      <c r="AJ5" s="729"/>
      <c r="AK5" s="729"/>
      <c r="AL5" s="729"/>
      <c r="AM5" s="729"/>
      <c r="AN5" s="729"/>
      <c r="AO5" s="729"/>
      <c r="AP5" s="729"/>
      <c r="AQ5" s="729"/>
      <c r="AR5" s="729"/>
      <c r="AS5" s="729"/>
      <c r="AT5" s="729"/>
      <c r="AU5" s="729"/>
      <c r="AV5" s="729"/>
      <c r="AW5" s="729"/>
      <c r="AX5" s="729"/>
      <c r="AY5" s="729"/>
      <c r="AZ5" s="729"/>
      <c r="BA5" s="729"/>
      <c r="BB5" s="729"/>
      <c r="BC5" s="729"/>
      <c r="BD5" s="729"/>
      <c r="BE5" s="729"/>
      <c r="BF5" s="729"/>
      <c r="BG5" s="729"/>
      <c r="BH5" s="729"/>
      <c r="BI5" s="729"/>
      <c r="BJ5" s="729"/>
      <c r="BK5" s="729"/>
      <c r="BL5" s="729"/>
      <c r="BM5" s="729"/>
      <c r="BN5" s="729"/>
      <c r="BO5" s="729"/>
      <c r="BP5" s="729"/>
      <c r="BQ5" s="729"/>
      <c r="BR5" s="729"/>
      <c r="BS5" s="729"/>
      <c r="BT5" s="729"/>
      <c r="BU5" s="729"/>
      <c r="BV5" s="729"/>
      <c r="BW5" s="729"/>
      <c r="BX5" s="729"/>
      <c r="BY5" s="729"/>
      <c r="BZ5" s="729"/>
      <c r="CA5" s="729"/>
      <c r="CB5" s="729"/>
      <c r="CC5" s="729"/>
      <c r="CD5" s="729"/>
      <c r="CE5" s="729"/>
      <c r="CF5" s="729"/>
      <c r="CG5" s="729"/>
      <c r="CH5" s="729"/>
      <c r="CI5" s="729"/>
      <c r="CJ5" s="729"/>
      <c r="CK5" s="729"/>
      <c r="CL5" s="729"/>
      <c r="CM5" s="729"/>
      <c r="CN5" s="729"/>
      <c r="CO5" s="729"/>
      <c r="CP5" s="729"/>
      <c r="CQ5" s="729"/>
      <c r="CR5" s="729"/>
      <c r="CS5" s="729"/>
      <c r="CT5" s="729"/>
      <c r="CU5" s="729"/>
      <c r="CV5" s="729"/>
      <c r="CW5" s="729"/>
      <c r="CX5" s="729"/>
      <c r="CY5" s="729"/>
      <c r="CZ5" s="729"/>
      <c r="DA5" s="729"/>
      <c r="DB5" s="729"/>
      <c r="DC5" s="729"/>
      <c r="DD5" s="729"/>
      <c r="DE5" s="729"/>
      <c r="DF5" s="729"/>
      <c r="DG5" s="729"/>
      <c r="DH5" s="729"/>
      <c r="DI5" s="729"/>
      <c r="DJ5" s="729"/>
      <c r="DK5" s="729"/>
      <c r="DL5" s="729"/>
      <c r="DM5" s="729"/>
      <c r="DN5" s="729"/>
      <c r="DO5" s="729"/>
      <c r="DP5" s="729"/>
      <c r="DQ5" s="729"/>
      <c r="DR5" s="729"/>
      <c r="DS5" s="729"/>
      <c r="DT5" s="729"/>
      <c r="DU5" s="729"/>
      <c r="DV5" s="729"/>
      <c r="DW5" s="729"/>
      <c r="DX5" s="729"/>
      <c r="DY5" s="729"/>
      <c r="DZ5" s="729"/>
      <c r="EA5" s="729"/>
      <c r="EB5" s="729"/>
      <c r="EC5" s="729"/>
      <c r="ED5" s="729"/>
      <c r="EE5" s="729"/>
      <c r="EF5" s="729"/>
      <c r="EG5" s="729"/>
      <c r="EH5" s="729"/>
      <c r="EI5" s="729"/>
      <c r="EJ5" s="729"/>
      <c r="EK5" s="729"/>
      <c r="EL5" s="729"/>
      <c r="EM5" s="729"/>
      <c r="EN5" s="729"/>
      <c r="EO5" s="729"/>
      <c r="EP5" s="729"/>
      <c r="EQ5" s="729"/>
      <c r="ER5" s="729"/>
      <c r="ES5" s="729"/>
      <c r="ET5" s="729"/>
      <c r="EU5" s="729"/>
      <c r="EV5" s="729"/>
      <c r="EW5" s="729"/>
      <c r="EX5" s="729"/>
      <c r="EY5" s="729"/>
      <c r="EZ5" s="729"/>
      <c r="FA5" s="729"/>
      <c r="FB5" s="729"/>
      <c r="FC5" s="729"/>
      <c r="FD5" s="729"/>
      <c r="FE5" s="729"/>
      <c r="FF5" s="729"/>
      <c r="FG5" s="729"/>
      <c r="FH5" s="729"/>
      <c r="FI5" s="729"/>
      <c r="FJ5" s="729"/>
      <c r="FK5" s="729"/>
      <c r="FL5" s="729"/>
      <c r="FM5" s="729"/>
      <c r="FN5" s="729"/>
      <c r="FO5" s="729"/>
      <c r="FP5" s="729"/>
      <c r="FQ5" s="729"/>
      <c r="FR5" s="729"/>
      <c r="FS5" s="729"/>
      <c r="FT5" s="729"/>
      <c r="FU5" s="729"/>
      <c r="FV5" s="729"/>
      <c r="FW5" s="729"/>
      <c r="FX5" s="729"/>
      <c r="FY5" s="729"/>
      <c r="FZ5" s="729"/>
      <c r="GA5" s="729"/>
      <c r="GB5" s="729"/>
      <c r="GC5" s="729"/>
      <c r="GD5" s="729"/>
      <c r="GE5" s="729"/>
      <c r="GF5" s="729"/>
      <c r="GG5" s="729"/>
      <c r="GH5" s="729"/>
      <c r="GI5" s="729"/>
      <c r="GJ5" s="729"/>
      <c r="GK5" s="729"/>
      <c r="GL5" s="729"/>
      <c r="GM5" s="729"/>
      <c r="GN5" s="729"/>
      <c r="GO5" s="729"/>
      <c r="GP5" s="729"/>
      <c r="GQ5" s="729"/>
      <c r="GR5" s="729"/>
      <c r="GS5" s="729"/>
      <c r="GT5" s="729"/>
      <c r="GU5" s="729"/>
      <c r="GV5" s="729"/>
      <c r="GW5" s="729"/>
      <c r="GX5" s="729"/>
      <c r="GY5" s="729"/>
      <c r="GZ5" s="729"/>
      <c r="HA5" s="729"/>
      <c r="HB5" s="729"/>
      <c r="HC5" s="729"/>
      <c r="HD5" s="729"/>
      <c r="HE5" s="729"/>
      <c r="HF5" s="729"/>
      <c r="HG5" s="729"/>
      <c r="HH5" s="729"/>
      <c r="HI5" s="729"/>
      <c r="HJ5" s="729"/>
      <c r="HK5" s="729"/>
      <c r="HL5" s="729"/>
      <c r="HM5" s="729"/>
      <c r="HN5" s="729"/>
      <c r="HO5" s="729"/>
      <c r="HP5" s="729"/>
      <c r="HQ5" s="729"/>
      <c r="HR5" s="729"/>
      <c r="HS5" s="729"/>
      <c r="HT5" s="729"/>
      <c r="HU5" s="729"/>
      <c r="HV5" s="729"/>
      <c r="HW5" s="729"/>
      <c r="HX5" s="729"/>
      <c r="HY5" s="729"/>
      <c r="HZ5" s="729"/>
      <c r="IA5" s="729"/>
      <c r="IB5" s="729"/>
      <c r="IC5" s="729"/>
      <c r="ID5" s="729"/>
      <c r="IE5" s="729"/>
      <c r="IF5" s="729"/>
      <c r="IG5" s="729"/>
      <c r="IH5" s="729"/>
      <c r="II5" s="729"/>
      <c r="IJ5" s="729"/>
      <c r="IK5" s="729"/>
      <c r="IL5" s="729"/>
      <c r="IM5" s="729"/>
      <c r="IN5" s="729"/>
      <c r="IO5" s="729"/>
      <c r="IP5" s="729"/>
      <c r="IQ5" s="729"/>
    </row>
    <row r="6" spans="1:251" ht="20.25" customHeight="1">
      <c r="A6" s="2263" t="s">
        <v>1422</v>
      </c>
      <c r="B6" s="656"/>
      <c r="C6" s="729"/>
      <c r="D6" s="729"/>
      <c r="E6" s="729"/>
      <c r="F6" s="729"/>
      <c r="G6" s="729"/>
      <c r="H6" s="729"/>
      <c r="I6" s="729"/>
      <c r="J6" s="729"/>
      <c r="K6" s="729"/>
      <c r="L6" s="729"/>
      <c r="M6" s="729"/>
      <c r="N6" s="729"/>
      <c r="O6" s="729"/>
      <c r="P6" s="729"/>
      <c r="Q6" s="729"/>
      <c r="R6" s="729"/>
      <c r="S6" s="729"/>
      <c r="T6" s="729"/>
      <c r="U6" s="729"/>
      <c r="V6" s="729"/>
      <c r="W6" s="729"/>
      <c r="X6" s="729"/>
      <c r="Y6" s="729"/>
      <c r="Z6" s="729"/>
      <c r="AA6" s="729"/>
      <c r="AB6" s="729"/>
      <c r="AC6" s="729"/>
      <c r="AD6" s="729"/>
      <c r="AE6" s="227"/>
      <c r="AJ6" s="729"/>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29"/>
      <c r="BQ6" s="729"/>
      <c r="BR6" s="729"/>
      <c r="BS6" s="729"/>
      <c r="BT6" s="729"/>
      <c r="BU6" s="729"/>
      <c r="BV6" s="729"/>
      <c r="BW6" s="729"/>
      <c r="BX6" s="729"/>
      <c r="BY6" s="729"/>
      <c r="BZ6" s="729"/>
      <c r="CA6" s="729"/>
      <c r="CB6" s="729"/>
      <c r="CC6" s="729"/>
      <c r="CD6" s="729"/>
      <c r="CE6" s="729"/>
      <c r="CF6" s="729"/>
      <c r="CG6" s="729"/>
      <c r="CH6" s="729"/>
      <c r="CI6" s="729"/>
      <c r="CJ6" s="729"/>
      <c r="CK6" s="729"/>
      <c r="CL6" s="729"/>
      <c r="CM6" s="729"/>
      <c r="CN6" s="729"/>
      <c r="CO6" s="729"/>
      <c r="CP6" s="729"/>
      <c r="CQ6" s="729"/>
      <c r="CR6" s="729"/>
      <c r="CS6" s="729"/>
      <c r="CT6" s="729"/>
      <c r="CU6" s="729"/>
      <c r="CV6" s="729"/>
      <c r="CW6" s="729"/>
      <c r="CX6" s="729"/>
      <c r="CY6" s="729"/>
      <c r="CZ6" s="729"/>
      <c r="DA6" s="729"/>
      <c r="DB6" s="729"/>
      <c r="DC6" s="729"/>
      <c r="DD6" s="729"/>
      <c r="DE6" s="729"/>
      <c r="DF6" s="729"/>
      <c r="DG6" s="729"/>
      <c r="DH6" s="729"/>
      <c r="DI6" s="729"/>
      <c r="DJ6" s="729"/>
      <c r="DK6" s="729"/>
      <c r="DL6" s="729"/>
      <c r="DM6" s="729"/>
      <c r="DN6" s="729"/>
      <c r="DO6" s="729"/>
      <c r="DP6" s="729"/>
      <c r="DQ6" s="729"/>
      <c r="DR6" s="729"/>
      <c r="DS6" s="729"/>
      <c r="DT6" s="729"/>
      <c r="DU6" s="729"/>
      <c r="DV6" s="729"/>
      <c r="DW6" s="729"/>
      <c r="DX6" s="729"/>
      <c r="DY6" s="729"/>
      <c r="DZ6" s="729"/>
      <c r="EA6" s="729"/>
      <c r="EB6" s="729"/>
      <c r="EC6" s="729"/>
      <c r="ED6" s="729"/>
      <c r="EE6" s="729"/>
      <c r="EF6" s="729"/>
      <c r="EG6" s="729"/>
      <c r="EH6" s="729"/>
      <c r="EI6" s="729"/>
      <c r="EJ6" s="729"/>
      <c r="EK6" s="729"/>
      <c r="EL6" s="729"/>
      <c r="EM6" s="729"/>
      <c r="EN6" s="729"/>
      <c r="EO6" s="729"/>
      <c r="EP6" s="729"/>
      <c r="EQ6" s="729"/>
      <c r="ER6" s="729"/>
      <c r="ES6" s="729"/>
      <c r="ET6" s="729"/>
      <c r="EU6" s="729"/>
      <c r="EV6" s="729"/>
      <c r="EW6" s="729"/>
      <c r="EX6" s="729"/>
      <c r="EY6" s="729"/>
      <c r="EZ6" s="729"/>
      <c r="FA6" s="729"/>
      <c r="FB6" s="729"/>
      <c r="FC6" s="729"/>
      <c r="FD6" s="729"/>
      <c r="FE6" s="729"/>
      <c r="FF6" s="729"/>
      <c r="FG6" s="729"/>
      <c r="FH6" s="729"/>
      <c r="FI6" s="729"/>
      <c r="FJ6" s="729"/>
      <c r="FK6" s="729"/>
      <c r="FL6" s="729"/>
      <c r="FM6" s="729"/>
      <c r="FN6" s="729"/>
      <c r="FO6" s="729"/>
      <c r="FP6" s="729"/>
      <c r="FQ6" s="729"/>
      <c r="FR6" s="729"/>
      <c r="FS6" s="729"/>
      <c r="FT6" s="729"/>
      <c r="FU6" s="729"/>
      <c r="FV6" s="729"/>
      <c r="FW6" s="729"/>
      <c r="FX6" s="729"/>
      <c r="FY6" s="729"/>
      <c r="FZ6" s="729"/>
      <c r="GA6" s="729"/>
      <c r="GB6" s="729"/>
      <c r="GC6" s="729"/>
      <c r="GD6" s="729"/>
      <c r="GE6" s="729"/>
      <c r="GF6" s="729"/>
      <c r="GG6" s="729"/>
      <c r="GH6" s="729"/>
      <c r="GI6" s="729"/>
      <c r="GJ6" s="729"/>
      <c r="GK6" s="729"/>
      <c r="GL6" s="729"/>
      <c r="GM6" s="729"/>
      <c r="GN6" s="729"/>
      <c r="GO6" s="729"/>
      <c r="GP6" s="729"/>
      <c r="GQ6" s="729"/>
      <c r="GR6" s="729"/>
      <c r="GS6" s="729"/>
      <c r="GT6" s="729"/>
      <c r="GU6" s="729"/>
      <c r="GV6" s="729"/>
      <c r="GW6" s="729"/>
      <c r="GX6" s="729"/>
      <c r="GY6" s="729"/>
      <c r="GZ6" s="729"/>
      <c r="HA6" s="729"/>
      <c r="HB6" s="729"/>
      <c r="HC6" s="729"/>
      <c r="HD6" s="729"/>
      <c r="HE6" s="729"/>
      <c r="HF6" s="729"/>
      <c r="HG6" s="729"/>
      <c r="HH6" s="729"/>
      <c r="HI6" s="729"/>
      <c r="HJ6" s="729"/>
      <c r="HK6" s="729"/>
      <c r="HL6" s="729"/>
      <c r="HM6" s="729"/>
      <c r="HN6" s="729"/>
      <c r="HO6" s="729"/>
      <c r="HP6" s="729"/>
      <c r="HQ6" s="729"/>
      <c r="HR6" s="729"/>
      <c r="HS6" s="729"/>
      <c r="HT6" s="729"/>
      <c r="HU6" s="729"/>
      <c r="HV6" s="729"/>
      <c r="HW6" s="729"/>
      <c r="HX6" s="729"/>
      <c r="HY6" s="729"/>
      <c r="HZ6" s="729"/>
      <c r="IA6" s="729"/>
      <c r="IB6" s="729"/>
      <c r="IC6" s="729"/>
      <c r="ID6" s="729"/>
      <c r="IE6" s="729"/>
      <c r="IF6" s="729"/>
      <c r="IG6" s="729"/>
      <c r="IH6" s="729"/>
      <c r="II6" s="729"/>
      <c r="IJ6" s="729"/>
      <c r="IK6" s="729"/>
      <c r="IL6" s="729"/>
      <c r="IM6" s="729"/>
      <c r="IN6" s="729"/>
      <c r="IO6" s="729"/>
      <c r="IP6" s="729"/>
      <c r="IQ6" s="729"/>
    </row>
    <row r="7" spans="1:251" ht="20.25" customHeight="1">
      <c r="A7" s="2262" t="s">
        <v>1198</v>
      </c>
      <c r="B7" s="656"/>
      <c r="C7" s="729"/>
      <c r="D7" s="729"/>
      <c r="E7" s="729"/>
      <c r="F7" s="729"/>
      <c r="G7" s="729"/>
      <c r="H7" s="729"/>
      <c r="I7" s="729"/>
      <c r="J7" s="729"/>
      <c r="K7" s="729"/>
      <c r="L7" s="729"/>
      <c r="M7" s="729"/>
      <c r="N7" s="729"/>
      <c r="O7" s="729"/>
      <c r="P7" s="729"/>
      <c r="Q7" s="729"/>
      <c r="R7" s="729"/>
      <c r="S7" s="729"/>
      <c r="T7" s="729"/>
      <c r="U7" s="729"/>
      <c r="V7" s="729"/>
      <c r="W7" s="729"/>
      <c r="X7" s="729"/>
      <c r="Y7" s="729"/>
      <c r="Z7" s="729"/>
      <c r="AA7" s="729"/>
      <c r="AB7" s="729"/>
      <c r="AC7" s="729"/>
      <c r="AD7" s="729"/>
      <c r="AE7" s="227"/>
      <c r="AJ7" s="729"/>
      <c r="AK7" s="729"/>
      <c r="AL7" s="729"/>
      <c r="AM7" s="729"/>
      <c r="AN7" s="729"/>
      <c r="AO7" s="729"/>
      <c r="AP7" s="729"/>
      <c r="AQ7" s="729"/>
      <c r="AR7" s="729"/>
      <c r="AS7" s="729"/>
      <c r="AT7" s="729"/>
      <c r="AU7" s="729"/>
      <c r="AV7" s="729"/>
      <c r="AW7" s="729"/>
      <c r="AX7" s="729"/>
      <c r="AY7" s="729"/>
      <c r="AZ7" s="729"/>
      <c r="BA7" s="729"/>
      <c r="BB7" s="729"/>
      <c r="BC7" s="729"/>
      <c r="BD7" s="729"/>
      <c r="BE7" s="729"/>
      <c r="BF7" s="729"/>
      <c r="BG7" s="729"/>
      <c r="BH7" s="729"/>
      <c r="BI7" s="729"/>
      <c r="BJ7" s="729"/>
      <c r="BK7" s="729"/>
      <c r="BL7" s="729"/>
      <c r="BM7" s="729"/>
      <c r="BN7" s="729"/>
      <c r="BO7" s="729"/>
      <c r="BP7" s="729"/>
      <c r="BQ7" s="729"/>
      <c r="BR7" s="729"/>
      <c r="BS7" s="729"/>
      <c r="BT7" s="729"/>
      <c r="BU7" s="729"/>
      <c r="BV7" s="729"/>
      <c r="BW7" s="729"/>
      <c r="BX7" s="729"/>
      <c r="BY7" s="729"/>
      <c r="BZ7" s="729"/>
      <c r="CA7" s="729"/>
      <c r="CB7" s="729"/>
      <c r="CC7" s="729"/>
      <c r="CD7" s="729"/>
      <c r="CE7" s="729"/>
      <c r="CF7" s="729"/>
      <c r="CG7" s="729"/>
      <c r="CH7" s="729"/>
      <c r="CI7" s="729"/>
      <c r="CJ7" s="729"/>
      <c r="CK7" s="729"/>
      <c r="CL7" s="729"/>
      <c r="CM7" s="729"/>
      <c r="CN7" s="729"/>
      <c r="CO7" s="729"/>
      <c r="CP7" s="729"/>
      <c r="CQ7" s="729"/>
      <c r="CR7" s="729"/>
      <c r="CS7" s="729"/>
      <c r="CT7" s="729"/>
      <c r="CU7" s="729"/>
      <c r="CV7" s="729"/>
      <c r="CW7" s="729"/>
      <c r="CX7" s="729"/>
      <c r="CY7" s="729"/>
      <c r="CZ7" s="729"/>
      <c r="DA7" s="729"/>
      <c r="DB7" s="729"/>
      <c r="DC7" s="729"/>
      <c r="DD7" s="729"/>
      <c r="DE7" s="729"/>
      <c r="DF7" s="729"/>
      <c r="DG7" s="729"/>
      <c r="DH7" s="729"/>
      <c r="DI7" s="729"/>
      <c r="DJ7" s="729"/>
      <c r="DK7" s="729"/>
      <c r="DL7" s="729"/>
      <c r="DM7" s="729"/>
      <c r="DN7" s="729"/>
      <c r="DO7" s="729"/>
      <c r="DP7" s="729"/>
      <c r="DQ7" s="729"/>
      <c r="DR7" s="729"/>
      <c r="DS7" s="729"/>
      <c r="DT7" s="729"/>
      <c r="DU7" s="729"/>
      <c r="DV7" s="729"/>
      <c r="DW7" s="729"/>
      <c r="DX7" s="729"/>
      <c r="DY7" s="729"/>
      <c r="DZ7" s="729"/>
      <c r="EA7" s="729"/>
      <c r="EB7" s="729"/>
      <c r="EC7" s="729"/>
      <c r="ED7" s="729"/>
      <c r="EE7" s="729"/>
      <c r="EF7" s="729"/>
      <c r="EG7" s="729"/>
      <c r="EH7" s="729"/>
      <c r="EI7" s="729"/>
      <c r="EJ7" s="729"/>
      <c r="EK7" s="729"/>
      <c r="EL7" s="729"/>
      <c r="EM7" s="729"/>
      <c r="EN7" s="729"/>
      <c r="EO7" s="729"/>
      <c r="EP7" s="729"/>
      <c r="EQ7" s="729"/>
      <c r="ER7" s="729"/>
      <c r="ES7" s="729"/>
      <c r="ET7" s="729"/>
      <c r="EU7" s="729"/>
      <c r="EV7" s="729"/>
      <c r="EW7" s="729"/>
      <c r="EX7" s="729"/>
      <c r="EY7" s="729"/>
      <c r="EZ7" s="729"/>
      <c r="FA7" s="729"/>
      <c r="FB7" s="729"/>
      <c r="FC7" s="729"/>
      <c r="FD7" s="729"/>
      <c r="FE7" s="729"/>
      <c r="FF7" s="729"/>
      <c r="FG7" s="729"/>
      <c r="FH7" s="729"/>
      <c r="FI7" s="729"/>
      <c r="FJ7" s="729"/>
      <c r="FK7" s="729"/>
      <c r="FL7" s="729"/>
      <c r="FM7" s="729"/>
      <c r="FN7" s="729"/>
      <c r="FO7" s="729"/>
      <c r="FP7" s="729"/>
      <c r="FQ7" s="729"/>
      <c r="FR7" s="729"/>
      <c r="FS7" s="729"/>
      <c r="FT7" s="729"/>
      <c r="FU7" s="729"/>
      <c r="FV7" s="729"/>
      <c r="FW7" s="729"/>
      <c r="FX7" s="729"/>
      <c r="FY7" s="729"/>
      <c r="FZ7" s="729"/>
      <c r="GA7" s="729"/>
      <c r="GB7" s="729"/>
      <c r="GC7" s="729"/>
      <c r="GD7" s="729"/>
      <c r="GE7" s="729"/>
      <c r="GF7" s="729"/>
      <c r="GG7" s="729"/>
      <c r="GH7" s="729"/>
      <c r="GI7" s="729"/>
      <c r="GJ7" s="729"/>
      <c r="GK7" s="729"/>
      <c r="GL7" s="729"/>
      <c r="GM7" s="729"/>
      <c r="GN7" s="729"/>
      <c r="GO7" s="729"/>
      <c r="GP7" s="729"/>
      <c r="GQ7" s="729"/>
      <c r="GR7" s="729"/>
      <c r="GS7" s="729"/>
      <c r="GT7" s="729"/>
      <c r="GU7" s="729"/>
      <c r="GV7" s="729"/>
      <c r="GW7" s="729"/>
      <c r="GX7" s="729"/>
      <c r="GY7" s="729"/>
      <c r="GZ7" s="729"/>
      <c r="HA7" s="729"/>
      <c r="HB7" s="729"/>
      <c r="HC7" s="729"/>
      <c r="HD7" s="729"/>
      <c r="HE7" s="729"/>
      <c r="HF7" s="729"/>
      <c r="HG7" s="729"/>
      <c r="HH7" s="729"/>
      <c r="HI7" s="729"/>
      <c r="HJ7" s="729"/>
      <c r="HK7" s="729"/>
      <c r="HL7" s="729"/>
      <c r="HM7" s="729"/>
      <c r="HN7" s="729"/>
      <c r="HO7" s="729"/>
      <c r="HP7" s="729"/>
      <c r="HQ7" s="729"/>
      <c r="HR7" s="729"/>
      <c r="HS7" s="729"/>
      <c r="HT7" s="729"/>
      <c r="HU7" s="729"/>
      <c r="HV7" s="729"/>
      <c r="HW7" s="729"/>
      <c r="HX7" s="729"/>
      <c r="HY7" s="729"/>
      <c r="HZ7" s="729"/>
      <c r="IA7" s="729"/>
      <c r="IB7" s="729"/>
      <c r="IC7" s="729"/>
      <c r="ID7" s="729"/>
      <c r="IE7" s="729"/>
      <c r="IF7" s="729"/>
      <c r="IG7" s="729"/>
      <c r="IH7" s="729"/>
      <c r="II7" s="729"/>
      <c r="IJ7" s="729"/>
      <c r="IK7" s="729"/>
      <c r="IL7" s="729"/>
      <c r="IM7" s="729"/>
      <c r="IN7" s="729"/>
      <c r="IO7" s="729"/>
      <c r="IP7" s="729"/>
      <c r="IQ7" s="729"/>
    </row>
    <row r="8" spans="1:251" ht="16.5" customHeight="1">
      <c r="AE8" s="227"/>
    </row>
    <row r="9" spans="1:251" ht="16.5" customHeight="1">
      <c r="A9" s="730"/>
      <c r="B9" s="427"/>
      <c r="C9" s="427"/>
      <c r="D9" s="427"/>
      <c r="E9" s="427"/>
      <c r="F9" s="427"/>
      <c r="G9" s="427"/>
      <c r="H9" s="507"/>
      <c r="I9" s="507"/>
      <c r="J9" s="507"/>
      <c r="K9" s="427"/>
      <c r="L9" s="427"/>
      <c r="M9" s="427"/>
      <c r="N9" s="427"/>
      <c r="O9" s="427"/>
      <c r="P9" s="427"/>
      <c r="Q9" s="427"/>
      <c r="R9" s="427"/>
      <c r="S9" s="427"/>
      <c r="T9" s="427"/>
      <c r="U9" s="427"/>
      <c r="V9" s="427"/>
      <c r="W9" s="427"/>
      <c r="X9" s="427"/>
      <c r="Y9" s="427"/>
      <c r="Z9" s="427"/>
      <c r="AA9" s="427"/>
      <c r="AB9" s="427"/>
      <c r="AC9" s="427"/>
      <c r="AD9" s="427"/>
      <c r="AE9" s="415"/>
      <c r="AF9" s="2535"/>
      <c r="AG9" s="2535"/>
      <c r="AH9" s="2535"/>
      <c r="AI9" s="2535"/>
    </row>
    <row r="10" spans="1:251" ht="16.5" customHeight="1">
      <c r="A10" s="460"/>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1672"/>
      <c r="AA10" s="3370" t="s">
        <v>1630</v>
      </c>
      <c r="AB10" s="3370"/>
      <c r="AC10" s="3370"/>
      <c r="AD10" s="3370"/>
      <c r="AE10" s="3370"/>
      <c r="AF10" s="3370"/>
      <c r="AG10" s="3370"/>
      <c r="AH10" s="3370"/>
      <c r="AI10" s="3370"/>
    </row>
    <row r="11" spans="1:251" ht="16.5" customHeight="1">
      <c r="A11" s="460"/>
      <c r="B11" s="1671">
        <v>2014</v>
      </c>
      <c r="C11" s="466"/>
      <c r="D11" s="466"/>
      <c r="E11" s="466"/>
      <c r="F11" s="466"/>
      <c r="G11" s="466"/>
      <c r="H11" s="466"/>
      <c r="I11" s="466"/>
      <c r="J11" s="466"/>
      <c r="K11" s="466"/>
      <c r="L11" s="466"/>
      <c r="M11" s="466"/>
      <c r="N11" s="466"/>
      <c r="O11" s="466"/>
      <c r="P11" s="466"/>
      <c r="Q11" s="466"/>
      <c r="R11" s="466"/>
      <c r="S11" s="466"/>
      <c r="T11" s="1671">
        <v>2015</v>
      </c>
      <c r="U11" s="466"/>
      <c r="V11" s="466"/>
      <c r="W11" s="466"/>
      <c r="X11" s="466"/>
      <c r="Y11" s="466"/>
      <c r="Z11" s="1672"/>
      <c r="AA11" s="1672"/>
      <c r="AB11" s="1672"/>
      <c r="AC11" s="1672"/>
      <c r="AD11" s="1672"/>
      <c r="AE11" s="2259"/>
      <c r="AF11" s="2523"/>
      <c r="AG11" s="2537" t="s">
        <v>8</v>
      </c>
      <c r="AH11" s="2537"/>
      <c r="AI11" s="2538" t="s">
        <v>9</v>
      </c>
    </row>
    <row r="12" spans="1:251" ht="16.5" customHeight="1">
      <c r="A12" s="460"/>
      <c r="B12" s="1673" t="s">
        <v>131</v>
      </c>
      <c r="C12" s="466"/>
      <c r="D12" s="1673" t="s">
        <v>132</v>
      </c>
      <c r="E12" s="466"/>
      <c r="F12" s="1673" t="s">
        <v>133</v>
      </c>
      <c r="G12" s="466"/>
      <c r="H12" s="1673" t="s">
        <v>134</v>
      </c>
      <c r="I12" s="466"/>
      <c r="J12" s="1673" t="s">
        <v>135</v>
      </c>
      <c r="K12" s="466"/>
      <c r="L12" s="1671" t="s">
        <v>150</v>
      </c>
      <c r="M12" s="466"/>
      <c r="N12" s="1671" t="s">
        <v>151</v>
      </c>
      <c r="O12" s="466"/>
      <c r="P12" s="1673" t="s">
        <v>138</v>
      </c>
      <c r="Q12" s="466"/>
      <c r="R12" s="1673" t="s">
        <v>139</v>
      </c>
      <c r="S12" s="466"/>
      <c r="T12" s="1673" t="s">
        <v>140</v>
      </c>
      <c r="U12" s="466"/>
      <c r="V12" s="1673" t="s">
        <v>141</v>
      </c>
      <c r="W12" s="466"/>
      <c r="X12" s="1671" t="s">
        <v>196</v>
      </c>
      <c r="Y12" s="466"/>
      <c r="Z12" s="466"/>
      <c r="AA12" s="1673">
        <v>2014</v>
      </c>
      <c r="AB12" s="466" t="s">
        <v>16</v>
      </c>
      <c r="AC12" s="466"/>
      <c r="AD12" s="1673">
        <v>2013</v>
      </c>
      <c r="AE12" s="1894"/>
      <c r="AF12" s="2561"/>
      <c r="AG12" s="2539" t="s">
        <v>13</v>
      </c>
      <c r="AH12" s="2540"/>
      <c r="AI12" s="2539" t="s">
        <v>14</v>
      </c>
    </row>
    <row r="13" spans="1:251" ht="4.5" customHeight="1">
      <c r="A13" s="460"/>
      <c r="B13" s="731"/>
      <c r="C13" s="460"/>
      <c r="D13" s="731"/>
      <c r="E13" s="460"/>
      <c r="F13" s="731"/>
      <c r="G13" s="460"/>
      <c r="H13" s="731"/>
      <c r="I13" s="460"/>
      <c r="J13" s="731"/>
      <c r="K13" s="460"/>
      <c r="L13" s="731"/>
      <c r="M13" s="460"/>
      <c r="N13" s="731"/>
      <c r="O13" s="460"/>
      <c r="P13" s="731"/>
      <c r="Q13" s="460"/>
      <c r="R13" s="731"/>
      <c r="S13" s="460"/>
      <c r="T13" s="731"/>
      <c r="U13" s="460"/>
      <c r="V13" s="731"/>
      <c r="W13" s="460"/>
      <c r="X13" s="731"/>
      <c r="Y13" s="460"/>
      <c r="Z13" s="460"/>
      <c r="AA13" s="731"/>
      <c r="AB13" s="460"/>
      <c r="AC13" s="460"/>
      <c r="AD13" s="731"/>
      <c r="AE13" s="2260"/>
      <c r="AF13" s="2564"/>
    </row>
    <row r="14" spans="1:251" ht="16.5" customHeight="1">
      <c r="A14" s="657" t="s">
        <v>143</v>
      </c>
      <c r="B14" s="732">
        <v>-72.7</v>
      </c>
      <c r="C14" s="732"/>
      <c r="D14" s="732">
        <v>-86.1</v>
      </c>
      <c r="E14" s="732"/>
      <c r="F14" s="732">
        <v>-116.6</v>
      </c>
      <c r="G14" s="732"/>
      <c r="H14" s="732">
        <f>+F50</f>
        <v>-152.19999999999999</v>
      </c>
      <c r="I14" s="732"/>
      <c r="J14" s="732">
        <f>H50</f>
        <v>-162.6</v>
      </c>
      <c r="K14" s="732"/>
      <c r="L14" s="732">
        <f>J50</f>
        <v>-143</v>
      </c>
      <c r="M14" s="732"/>
      <c r="N14" s="732">
        <f>L50</f>
        <v>-183.4</v>
      </c>
      <c r="O14" s="732"/>
      <c r="P14" s="732"/>
      <c r="Q14" s="732"/>
      <c r="R14" s="732"/>
      <c r="S14" s="732"/>
      <c r="T14" s="732"/>
      <c r="U14" s="732"/>
      <c r="V14" s="732"/>
      <c r="W14" s="732"/>
      <c r="X14" s="732"/>
      <c r="Y14" s="732"/>
      <c r="Z14" s="733"/>
      <c r="AA14" s="732">
        <f>B14</f>
        <v>-72.7</v>
      </c>
      <c r="AB14" s="734"/>
      <c r="AC14" s="735"/>
      <c r="AD14" s="732">
        <v>-6.4</v>
      </c>
      <c r="AE14" s="736"/>
      <c r="AF14" s="2565"/>
      <c r="AG14" s="2541">
        <f>ROUND(SUM(AA14-AD14),1)</f>
        <v>-66.3</v>
      </c>
      <c r="AI14" s="3079">
        <f>-ROUND(IF(AG14=0,0,AG14/(AD14)),3)</f>
        <v>-10.359</v>
      </c>
    </row>
    <row r="15" spans="1:251" ht="16.5" customHeight="1">
      <c r="A15" s="356"/>
      <c r="B15" s="736"/>
      <c r="C15" s="736"/>
      <c r="D15" s="736"/>
      <c r="E15" s="736"/>
      <c r="F15" s="736"/>
      <c r="G15" s="736"/>
      <c r="H15" s="736"/>
      <c r="I15" s="736"/>
      <c r="J15" s="736"/>
      <c r="K15" s="736"/>
      <c r="L15" s="736"/>
      <c r="M15" s="736"/>
      <c r="N15" s="736"/>
      <c r="O15" s="736"/>
      <c r="P15" s="736"/>
      <c r="Q15" s="736"/>
      <c r="R15" s="736"/>
      <c r="S15" s="736"/>
      <c r="T15" s="736"/>
      <c r="U15" s="736"/>
      <c r="V15" s="736"/>
      <c r="W15" s="736"/>
      <c r="X15" s="736"/>
      <c r="Y15" s="736"/>
      <c r="Z15" s="737"/>
      <c r="AA15" s="736"/>
      <c r="AB15" s="738"/>
      <c r="AC15" s="739"/>
      <c r="AD15" s="736"/>
      <c r="AE15" s="736"/>
      <c r="AF15" s="2565"/>
      <c r="AG15" s="2543"/>
      <c r="AI15" s="2534"/>
    </row>
    <row r="16" spans="1:251" ht="16.5" customHeight="1">
      <c r="A16" s="466" t="s">
        <v>15</v>
      </c>
      <c r="B16" s="736"/>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7"/>
      <c r="AA16" s="736"/>
      <c r="AB16" s="738"/>
      <c r="AC16" s="739"/>
      <c r="AD16" s="736"/>
      <c r="AE16" s="1922"/>
      <c r="AF16" s="2526"/>
      <c r="AG16" s="2549"/>
      <c r="AI16" s="2553"/>
    </row>
    <row r="17" spans="1:35" ht="16.5" customHeight="1">
      <c r="A17" s="356" t="s">
        <v>188</v>
      </c>
      <c r="B17" s="447">
        <v>22.3</v>
      </c>
      <c r="C17" s="447"/>
      <c r="D17" s="740">
        <v>36.1</v>
      </c>
      <c r="E17" s="447"/>
      <c r="F17" s="740">
        <v>42.4</v>
      </c>
      <c r="G17" s="447"/>
      <c r="H17" s="740">
        <v>30.1</v>
      </c>
      <c r="I17" s="447"/>
      <c r="J17" s="740">
        <v>38.1</v>
      </c>
      <c r="K17" s="447"/>
      <c r="L17" s="740">
        <v>50.8</v>
      </c>
      <c r="M17" s="447"/>
      <c r="N17" s="740">
        <v>31</v>
      </c>
      <c r="O17" s="447"/>
      <c r="P17" s="740"/>
      <c r="Q17" s="447"/>
      <c r="R17" s="740"/>
      <c r="S17" s="447"/>
      <c r="T17" s="740"/>
      <c r="U17" s="447"/>
      <c r="V17" s="709"/>
      <c r="W17" s="447"/>
      <c r="X17" s="709"/>
      <c r="Y17" s="447"/>
      <c r="Z17" s="741"/>
      <c r="AA17" s="447">
        <f>ROUND(SUM(B17:X17),1)</f>
        <v>250.8</v>
      </c>
      <c r="AB17" s="742"/>
      <c r="AC17" s="454"/>
      <c r="AD17" s="447">
        <v>243.9</v>
      </c>
      <c r="AE17" s="1924"/>
      <c r="AF17" s="2526"/>
      <c r="AG17" s="2556">
        <f>ROUND(SUM(AA17-AD17),1)</f>
        <v>6.9</v>
      </c>
      <c r="AI17" s="2557">
        <f>ROUND(IF(AG17=0,0,AG17/(AD17)),3)</f>
        <v>2.8000000000000001E-2</v>
      </c>
    </row>
    <row r="18" spans="1:35" ht="16.5" customHeight="1">
      <c r="A18" s="356"/>
      <c r="B18" s="743"/>
      <c r="C18" s="447"/>
      <c r="D18" s="743"/>
      <c r="E18" s="447"/>
      <c r="F18" s="743"/>
      <c r="G18" s="447"/>
      <c r="H18" s="743"/>
      <c r="I18" s="447"/>
      <c r="J18" s="743"/>
      <c r="K18" s="447"/>
      <c r="L18" s="743"/>
      <c r="M18" s="447"/>
      <c r="N18" s="743"/>
      <c r="O18" s="447"/>
      <c r="P18" s="743"/>
      <c r="Q18" s="447"/>
      <c r="R18" s="743"/>
      <c r="S18" s="447"/>
      <c r="T18" s="743"/>
      <c r="U18" s="447"/>
      <c r="V18" s="743"/>
      <c r="W18" s="447"/>
      <c r="X18" s="743"/>
      <c r="Y18" s="447"/>
      <c r="Z18" s="741"/>
      <c r="AA18" s="743"/>
      <c r="AB18" s="742"/>
      <c r="AC18" s="454"/>
      <c r="AD18" s="743"/>
      <c r="AE18" s="454"/>
      <c r="AF18" s="2526"/>
      <c r="AG18" s="2549"/>
      <c r="AI18" s="2534"/>
    </row>
    <row r="19" spans="1:35" ht="16.5" customHeight="1">
      <c r="A19" s="466" t="s">
        <v>158</v>
      </c>
      <c r="B19" s="744">
        <f>ROUND(SUM(B17),1)</f>
        <v>22.3</v>
      </c>
      <c r="C19" s="744"/>
      <c r="D19" s="744">
        <f>ROUND(SUM(D17),1)</f>
        <v>36.1</v>
      </c>
      <c r="E19" s="744"/>
      <c r="F19" s="744">
        <f>ROUND(SUM(F17),1)</f>
        <v>42.4</v>
      </c>
      <c r="G19" s="744"/>
      <c r="H19" s="744">
        <f>ROUND(SUM(H17),1)</f>
        <v>30.1</v>
      </c>
      <c r="I19" s="744"/>
      <c r="J19" s="744">
        <f>ROUND(SUM(J17),1)</f>
        <v>38.1</v>
      </c>
      <c r="K19" s="744"/>
      <c r="L19" s="744">
        <f>ROUND(SUM(L17),1)</f>
        <v>50.8</v>
      </c>
      <c r="M19" s="744"/>
      <c r="N19" s="744">
        <f>ROUND(SUM(N17),1)</f>
        <v>31</v>
      </c>
      <c r="O19" s="744"/>
      <c r="P19" s="744">
        <f>ROUND(SUM(P17),1)</f>
        <v>0</v>
      </c>
      <c r="Q19" s="744"/>
      <c r="R19" s="744">
        <f>ROUND(SUM(R17),1)</f>
        <v>0</v>
      </c>
      <c r="S19" s="744"/>
      <c r="T19" s="744">
        <f>ROUND(SUM(T17),1)</f>
        <v>0</v>
      </c>
      <c r="U19" s="744"/>
      <c r="V19" s="744">
        <f>ROUND(SUM(V17),1)</f>
        <v>0</v>
      </c>
      <c r="W19" s="744"/>
      <c r="X19" s="744">
        <f>ROUND(SUM(X17),1)</f>
        <v>0</v>
      </c>
      <c r="Y19" s="744"/>
      <c r="Z19" s="745"/>
      <c r="AA19" s="744">
        <f>ROUND(SUM(AA17),1)</f>
        <v>250.8</v>
      </c>
      <c r="AB19" s="746"/>
      <c r="AC19" s="747"/>
      <c r="AD19" s="744">
        <f>ROUND(SUM(AD17),1)</f>
        <v>243.9</v>
      </c>
      <c r="AE19" s="447"/>
      <c r="AF19" s="2526"/>
      <c r="AG19" s="2550">
        <f>ROUND(SUM(AG17),1)</f>
        <v>6.9</v>
      </c>
      <c r="AH19" s="2551"/>
      <c r="AI19" s="2552">
        <f>ROUND(IF(AG19=0,0,AG19/(AD19)),3)</f>
        <v>2.8000000000000001E-2</v>
      </c>
    </row>
    <row r="20" spans="1:35" ht="16.5" customHeight="1">
      <c r="A20" s="356"/>
      <c r="B20" s="743"/>
      <c r="C20" s="447"/>
      <c r="D20" s="743"/>
      <c r="E20" s="447"/>
      <c r="F20" s="743"/>
      <c r="G20" s="447"/>
      <c r="H20" s="743"/>
      <c r="I20" s="447"/>
      <c r="J20" s="743"/>
      <c r="K20" s="447"/>
      <c r="L20" s="743"/>
      <c r="M20" s="447"/>
      <c r="N20" s="743"/>
      <c r="O20" s="447"/>
      <c r="P20" s="743"/>
      <c r="Q20" s="447"/>
      <c r="R20" s="743"/>
      <c r="S20" s="447"/>
      <c r="T20" s="743"/>
      <c r="U20" s="447"/>
      <c r="V20" s="743"/>
      <c r="W20" s="447"/>
      <c r="X20" s="743"/>
      <c r="Y20" s="447"/>
      <c r="Z20" s="741"/>
      <c r="AA20" s="743"/>
      <c r="AB20" s="742"/>
      <c r="AC20" s="454"/>
      <c r="AD20" s="743"/>
      <c r="AE20" s="447"/>
      <c r="AF20" s="2526"/>
      <c r="AG20" s="2549"/>
      <c r="AI20" s="2534"/>
    </row>
    <row r="21" spans="1:35" ht="16.5" customHeight="1">
      <c r="A21" s="356"/>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741"/>
      <c r="AA21" s="447"/>
      <c r="AB21" s="742"/>
      <c r="AC21" s="454"/>
      <c r="AD21" s="447"/>
      <c r="AE21" s="449"/>
      <c r="AF21" s="2527"/>
      <c r="AG21" s="2549"/>
      <c r="AI21" s="2534"/>
    </row>
    <row r="22" spans="1:35" ht="16.5" customHeight="1">
      <c r="A22" s="356"/>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741"/>
      <c r="AA22" s="447"/>
      <c r="AB22" s="742"/>
      <c r="AC22" s="454"/>
      <c r="AD22" s="447"/>
      <c r="AE22" s="709"/>
      <c r="AF22" s="2527"/>
      <c r="AG22" s="2549"/>
      <c r="AI22" s="2553"/>
    </row>
    <row r="23" spans="1:35" ht="16.5" customHeight="1">
      <c r="A23" s="466" t="s">
        <v>24</v>
      </c>
      <c r="B23" s="447"/>
      <c r="C23" s="447"/>
      <c r="D23" s="447"/>
      <c r="E23" s="447"/>
      <c r="F23" s="447"/>
      <c r="G23" s="447"/>
      <c r="H23" s="447"/>
      <c r="I23" s="447"/>
      <c r="J23" s="447"/>
      <c r="K23" s="447"/>
      <c r="L23" s="447"/>
      <c r="M23" s="447"/>
      <c r="N23" s="447"/>
      <c r="O23" s="447"/>
      <c r="P23" s="447"/>
      <c r="Q23" s="447"/>
      <c r="R23" s="447"/>
      <c r="S23" s="447"/>
      <c r="T23" s="447"/>
      <c r="U23" s="447"/>
      <c r="V23" s="447"/>
      <c r="W23" s="447"/>
      <c r="X23" s="447"/>
      <c r="Y23" s="447"/>
      <c r="Z23" s="741"/>
      <c r="AA23" s="447"/>
      <c r="AB23" s="742"/>
      <c r="AC23" s="454"/>
      <c r="AD23" s="447"/>
      <c r="AE23" s="449"/>
      <c r="AF23" s="2527"/>
      <c r="AG23" s="2549"/>
      <c r="AH23" s="2554"/>
      <c r="AI23" s="2553"/>
    </row>
    <row r="24" spans="1:35" ht="16.5" customHeight="1">
      <c r="A24" s="356" t="s">
        <v>160</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741"/>
      <c r="AA24" s="447"/>
      <c r="AB24" s="742"/>
      <c r="AC24" s="454"/>
      <c r="AD24" s="449"/>
      <c r="AE24" s="1944"/>
      <c r="AF24" s="2527"/>
      <c r="AG24" s="2549"/>
      <c r="AI24" s="2553"/>
    </row>
    <row r="25" spans="1:35" ht="16.5" customHeight="1">
      <c r="A25" s="356" t="s">
        <v>232</v>
      </c>
      <c r="B25" s="447">
        <v>6.7</v>
      </c>
      <c r="C25" s="447"/>
      <c r="D25" s="740">
        <v>7.1</v>
      </c>
      <c r="E25" s="447"/>
      <c r="F25" s="740">
        <v>9.1</v>
      </c>
      <c r="G25" s="447"/>
      <c r="H25" s="740">
        <v>9.4</v>
      </c>
      <c r="I25" s="447"/>
      <c r="J25" s="740">
        <v>6.4</v>
      </c>
      <c r="K25" s="447"/>
      <c r="L25" s="740">
        <v>6.4</v>
      </c>
      <c r="M25" s="447"/>
      <c r="N25" s="740">
        <v>7</v>
      </c>
      <c r="O25" s="447"/>
      <c r="P25" s="740"/>
      <c r="Q25" s="447"/>
      <c r="R25" s="740"/>
      <c r="S25" s="447"/>
      <c r="T25" s="740"/>
      <c r="U25" s="447"/>
      <c r="V25" s="709"/>
      <c r="W25" s="447"/>
      <c r="X25" s="709"/>
      <c r="Y25" s="447"/>
      <c r="Z25" s="741"/>
      <c r="AA25" s="447">
        <f>ROUND(SUM(B25:X25),1)</f>
        <v>52.1</v>
      </c>
      <c r="AB25" s="742"/>
      <c r="AC25" s="454"/>
      <c r="AD25" s="447">
        <v>63.7</v>
      </c>
      <c r="AE25" s="1945"/>
      <c r="AF25" s="2527"/>
      <c r="AG25" s="2549">
        <f>ROUND(SUM(AA25-AD25),1)</f>
        <v>-11.6</v>
      </c>
      <c r="AI25" s="2555">
        <f>ROUND(IF(AG25=0,0,AG25/(AD25)),3)</f>
        <v>-0.182</v>
      </c>
    </row>
    <row r="26" spans="1:35" ht="16.5" customHeight="1">
      <c r="A26" s="356" t="s">
        <v>189</v>
      </c>
      <c r="B26" s="447">
        <v>30.6</v>
      </c>
      <c r="C26" s="447"/>
      <c r="D26" s="740">
        <v>55.8</v>
      </c>
      <c r="E26" s="447"/>
      <c r="F26" s="740">
        <v>62.3</v>
      </c>
      <c r="G26" s="447"/>
      <c r="H26" s="740">
        <v>30.4</v>
      </c>
      <c r="I26" s="447"/>
      <c r="J26" s="740">
        <v>27.1</v>
      </c>
      <c r="K26" s="447"/>
      <c r="L26" s="740">
        <v>77.3</v>
      </c>
      <c r="M26" s="447"/>
      <c r="N26" s="740">
        <v>44.2</v>
      </c>
      <c r="O26" s="447"/>
      <c r="P26" s="740"/>
      <c r="Q26" s="447"/>
      <c r="R26" s="740"/>
      <c r="S26" s="447"/>
      <c r="T26" s="740"/>
      <c r="U26" s="447"/>
      <c r="V26" s="709"/>
      <c r="W26" s="447"/>
      <c r="X26" s="709"/>
      <c r="Y26" s="447"/>
      <c r="Z26" s="741"/>
      <c r="AA26" s="447">
        <f>ROUND(SUM(B26:X26),1)</f>
        <v>327.7</v>
      </c>
      <c r="AB26" s="742"/>
      <c r="AC26" s="454"/>
      <c r="AD26" s="447">
        <v>257.2</v>
      </c>
      <c r="AE26" s="454"/>
      <c r="AF26" s="2526"/>
      <c r="AG26" s="2549">
        <f>ROUND(SUM(AA26-AD26),1)</f>
        <v>70.5</v>
      </c>
      <c r="AI26" s="2555">
        <f>ROUND(IF(AG26=0,0,AG26/(AD26)),3)</f>
        <v>0.27400000000000002</v>
      </c>
    </row>
    <row r="27" spans="1:35" ht="16.5" customHeight="1">
      <c r="A27" s="356" t="s">
        <v>163</v>
      </c>
      <c r="B27" s="447">
        <v>2</v>
      </c>
      <c r="C27" s="447"/>
      <c r="D27" s="740">
        <v>5.0999999999999996</v>
      </c>
      <c r="E27" s="447"/>
      <c r="F27" s="740">
        <v>7.1</v>
      </c>
      <c r="G27" s="447"/>
      <c r="H27" s="449">
        <v>1.3</v>
      </c>
      <c r="I27" s="447"/>
      <c r="J27" s="740">
        <v>1.9</v>
      </c>
      <c r="K27" s="447"/>
      <c r="L27" s="740">
        <v>5.8</v>
      </c>
      <c r="M27" s="447"/>
      <c r="N27" s="740">
        <v>3.8</v>
      </c>
      <c r="O27" s="447"/>
      <c r="P27" s="740"/>
      <c r="Q27" s="447"/>
      <c r="R27" s="449"/>
      <c r="S27" s="447"/>
      <c r="T27" s="740"/>
      <c r="U27" s="447"/>
      <c r="V27" s="709"/>
      <c r="W27" s="447"/>
      <c r="X27" s="709"/>
      <c r="Y27" s="447"/>
      <c r="Z27" s="741"/>
      <c r="AA27" s="447">
        <f>ROUND(SUM(B27:X27),1)</f>
        <v>27</v>
      </c>
      <c r="AB27" s="742"/>
      <c r="AC27" s="454"/>
      <c r="AD27" s="709">
        <v>28.5</v>
      </c>
      <c r="AE27" s="447"/>
      <c r="AF27" s="2526"/>
      <c r="AG27" s="2556">
        <f>ROUND(SUM(AA27-AD27),1)</f>
        <v>-1.5</v>
      </c>
      <c r="AI27" s="2557">
        <f>ROUND(IF(AG27=0,0,AG27/(AD27)),3)</f>
        <v>-5.2999999999999999E-2</v>
      </c>
    </row>
    <row r="28" spans="1:35" ht="16.5" customHeight="1">
      <c r="A28" s="356"/>
      <c r="B28" s="743"/>
      <c r="C28" s="447"/>
      <c r="D28" s="743"/>
      <c r="E28" s="447"/>
      <c r="F28" s="743"/>
      <c r="G28" s="447"/>
      <c r="H28" s="743"/>
      <c r="I28" s="447"/>
      <c r="J28" s="743"/>
      <c r="K28" s="447"/>
      <c r="L28" s="743"/>
      <c r="M28" s="447"/>
      <c r="N28" s="743"/>
      <c r="O28" s="447"/>
      <c r="P28" s="743"/>
      <c r="Q28" s="447"/>
      <c r="R28" s="743"/>
      <c r="S28" s="447"/>
      <c r="T28" s="743"/>
      <c r="U28" s="447"/>
      <c r="V28" s="743"/>
      <c r="W28" s="447"/>
      <c r="X28" s="743"/>
      <c r="Y28" s="447"/>
      <c r="Z28" s="741"/>
      <c r="AA28" s="743"/>
      <c r="AB28" s="742"/>
      <c r="AC28" s="454"/>
      <c r="AD28" s="743"/>
      <c r="AE28" s="1934"/>
      <c r="AF28" s="2527"/>
      <c r="AG28" s="2549"/>
      <c r="AH28" s="2558"/>
      <c r="AI28" s="2553"/>
    </row>
    <row r="29" spans="1:35" ht="16.5" customHeight="1">
      <c r="A29" s="466" t="s">
        <v>164</v>
      </c>
      <c r="B29" s="744">
        <f>ROUND(SUM(B25:B28),1)</f>
        <v>39.299999999999997</v>
      </c>
      <c r="C29" s="744"/>
      <c r="D29" s="744">
        <f>ROUND(SUM(D25:D28),1)</f>
        <v>68</v>
      </c>
      <c r="E29" s="744"/>
      <c r="F29" s="744">
        <f>ROUND(SUM(F25:F28),1)</f>
        <v>78.5</v>
      </c>
      <c r="G29" s="744"/>
      <c r="H29" s="744">
        <f>ROUND(SUM(H25:H28),1)</f>
        <v>41.1</v>
      </c>
      <c r="I29" s="744"/>
      <c r="J29" s="744">
        <f>ROUND(SUM(J25:J28),1)</f>
        <v>35.4</v>
      </c>
      <c r="K29" s="744"/>
      <c r="L29" s="744">
        <f>ROUND(SUM(L25:L28),1)</f>
        <v>89.5</v>
      </c>
      <c r="M29" s="744"/>
      <c r="N29" s="744">
        <f>ROUND(SUM(N25:N28),1)</f>
        <v>55</v>
      </c>
      <c r="O29" s="744"/>
      <c r="P29" s="744">
        <f>ROUND(SUM(P25:P28),1)</f>
        <v>0</v>
      </c>
      <c r="Q29" s="744"/>
      <c r="R29" s="744">
        <f>ROUND(SUM(R25:R28),1)</f>
        <v>0</v>
      </c>
      <c r="S29" s="744"/>
      <c r="T29" s="744">
        <f>ROUND(SUM(T25:T28),1)</f>
        <v>0</v>
      </c>
      <c r="U29" s="744"/>
      <c r="V29" s="744">
        <f>ROUND(SUM(V25:V28),1)</f>
        <v>0</v>
      </c>
      <c r="W29" s="744">
        <f>SUM(W25:W28)</f>
        <v>0</v>
      </c>
      <c r="X29" s="744">
        <f>ROUND(SUM(X25:X27),1)</f>
        <v>0</v>
      </c>
      <c r="Y29" s="744"/>
      <c r="Z29" s="745"/>
      <c r="AA29" s="744">
        <f>ROUND(SUM(AA24:AA27),1)</f>
        <v>406.8</v>
      </c>
      <c r="AB29" s="746"/>
      <c r="AC29" s="747"/>
      <c r="AD29" s="744">
        <f>ROUND(SUM(AD24:AD27),1)</f>
        <v>349.4</v>
      </c>
      <c r="AE29" s="454"/>
      <c r="AF29" s="2528"/>
      <c r="AG29" s="2550">
        <f>ROUND(SUM(AG25:AG27),1)</f>
        <v>57.4</v>
      </c>
      <c r="AH29" s="2551"/>
      <c r="AI29" s="2552">
        <f>ROUND(IF(AG29=0,0,AG29/(AD29)),3)</f>
        <v>0.16400000000000001</v>
      </c>
    </row>
    <row r="30" spans="1:35" ht="16.5" customHeight="1">
      <c r="A30" s="356"/>
      <c r="B30" s="743"/>
      <c r="C30" s="447"/>
      <c r="D30" s="743"/>
      <c r="E30" s="447"/>
      <c r="F30" s="743"/>
      <c r="G30" s="447"/>
      <c r="H30" s="743"/>
      <c r="I30" s="447"/>
      <c r="J30" s="743"/>
      <c r="K30" s="447"/>
      <c r="L30" s="743"/>
      <c r="M30" s="447"/>
      <c r="N30" s="743"/>
      <c r="O30" s="447"/>
      <c r="P30" s="743"/>
      <c r="Q30" s="447"/>
      <c r="R30" s="743"/>
      <c r="S30" s="447"/>
      <c r="T30" s="743"/>
      <c r="U30" s="447"/>
      <c r="V30" s="743"/>
      <c r="W30" s="447"/>
      <c r="X30" s="743"/>
      <c r="Y30" s="447"/>
      <c r="Z30" s="741"/>
      <c r="AA30" s="743"/>
      <c r="AB30" s="742"/>
      <c r="AC30" s="454"/>
      <c r="AD30" s="743"/>
      <c r="AE30" s="447"/>
      <c r="AF30" s="2528"/>
      <c r="AG30" s="2549"/>
      <c r="AI30" s="2534"/>
    </row>
    <row r="31" spans="1:35" ht="16.5" customHeight="1">
      <c r="A31" s="356"/>
      <c r="B31" s="447"/>
      <c r="C31" s="447"/>
      <c r="D31" s="447"/>
      <c r="E31" s="447"/>
      <c r="F31" s="447"/>
      <c r="G31" s="447"/>
      <c r="H31" s="447"/>
      <c r="I31" s="447"/>
      <c r="J31" s="447"/>
      <c r="K31" s="447"/>
      <c r="L31" s="447"/>
      <c r="M31" s="447"/>
      <c r="N31" s="447"/>
      <c r="O31" s="447"/>
      <c r="P31" s="447"/>
      <c r="Q31" s="447"/>
      <c r="R31" s="447"/>
      <c r="S31" s="447"/>
      <c r="T31" s="447"/>
      <c r="U31" s="447"/>
      <c r="V31" s="447"/>
      <c r="W31" s="447"/>
      <c r="X31" s="447"/>
      <c r="Y31" s="447"/>
      <c r="Z31" s="741"/>
      <c r="AA31" s="447"/>
      <c r="AB31" s="742"/>
      <c r="AC31" s="454"/>
      <c r="AD31" s="447"/>
      <c r="AE31" s="449"/>
      <c r="AF31" s="2529"/>
      <c r="AG31" s="2549"/>
      <c r="AH31" s="2554"/>
      <c r="AI31" s="2553"/>
    </row>
    <row r="32" spans="1:35" ht="16.5" customHeight="1">
      <c r="A32" s="356"/>
      <c r="B32" s="447"/>
      <c r="C32" s="447"/>
      <c r="D32" s="447"/>
      <c r="E32" s="447"/>
      <c r="F32" s="447"/>
      <c r="G32" s="447"/>
      <c r="H32" s="447"/>
      <c r="I32" s="447"/>
      <c r="J32" s="447"/>
      <c r="K32" s="447"/>
      <c r="L32" s="447"/>
      <c r="M32" s="447"/>
      <c r="N32" s="447"/>
      <c r="O32" s="447"/>
      <c r="P32" s="447"/>
      <c r="Q32" s="447"/>
      <c r="R32" s="447"/>
      <c r="S32" s="447"/>
      <c r="T32" s="447"/>
      <c r="U32" s="447"/>
      <c r="V32" s="447"/>
      <c r="W32" s="447"/>
      <c r="X32" s="447"/>
      <c r="Y32" s="447"/>
      <c r="Z32" s="741"/>
      <c r="AA32" s="447"/>
      <c r="AB32" s="742"/>
      <c r="AC32" s="454"/>
      <c r="AD32" s="447"/>
      <c r="AE32" s="449"/>
      <c r="AF32" s="2528"/>
      <c r="AG32" s="2549"/>
      <c r="AH32" s="2554"/>
      <c r="AI32" s="2553"/>
    </row>
    <row r="33" spans="1:35" ht="16.5" customHeight="1">
      <c r="A33" s="466" t="s">
        <v>165</v>
      </c>
      <c r="B33" s="447"/>
      <c r="C33" s="447"/>
      <c r="D33" s="447"/>
      <c r="E33" s="447"/>
      <c r="F33" s="447"/>
      <c r="G33" s="447"/>
      <c r="H33" s="447"/>
      <c r="I33" s="447"/>
      <c r="J33" s="447"/>
      <c r="K33" s="447"/>
      <c r="L33" s="447"/>
      <c r="M33" s="447"/>
      <c r="N33" s="447"/>
      <c r="O33" s="447"/>
      <c r="P33" s="447"/>
      <c r="Q33" s="447"/>
      <c r="R33" s="447"/>
      <c r="S33" s="447"/>
      <c r="T33" s="447"/>
      <c r="U33" s="447"/>
      <c r="V33" s="447"/>
      <c r="W33" s="447"/>
      <c r="X33" s="447"/>
      <c r="Y33" s="447"/>
      <c r="Z33" s="741"/>
      <c r="AA33" s="447"/>
      <c r="AB33" s="742"/>
      <c r="AC33" s="454"/>
      <c r="AD33" s="447"/>
      <c r="AE33" s="1950"/>
      <c r="AF33" s="2529"/>
      <c r="AG33" s="2549"/>
      <c r="AH33" s="2554"/>
      <c r="AI33" s="2553"/>
    </row>
    <row r="34" spans="1:35" ht="16.5" customHeight="1">
      <c r="A34" s="466" t="s">
        <v>46</v>
      </c>
      <c r="B34" s="744">
        <f>ROUND(B19-B29,1)</f>
        <v>-17</v>
      </c>
      <c r="C34" s="744"/>
      <c r="D34" s="744">
        <f>ROUND(D19-D29,1)</f>
        <v>-31.9</v>
      </c>
      <c r="E34" s="744"/>
      <c r="F34" s="744">
        <f>ROUND(F19-F29,1)</f>
        <v>-36.1</v>
      </c>
      <c r="G34" s="744"/>
      <c r="H34" s="744">
        <f>ROUND(H19-H29,1)</f>
        <v>-11</v>
      </c>
      <c r="I34" s="744"/>
      <c r="J34" s="744">
        <f>ROUND(J19-J29,1)</f>
        <v>2.7</v>
      </c>
      <c r="K34" s="744"/>
      <c r="L34" s="744">
        <f>ROUND(L19-L29,1)</f>
        <v>-38.700000000000003</v>
      </c>
      <c r="M34" s="744"/>
      <c r="N34" s="744">
        <f>ROUND(N19-N29,1)</f>
        <v>-24</v>
      </c>
      <c r="O34" s="744"/>
      <c r="P34" s="744">
        <f>ROUND(P19-P29,1)</f>
        <v>0</v>
      </c>
      <c r="Q34" s="744"/>
      <c r="R34" s="744">
        <f>ROUND(R19-R29,1)</f>
        <v>0</v>
      </c>
      <c r="S34" s="744"/>
      <c r="T34" s="744">
        <f>ROUND(T19-T29,1)</f>
        <v>0</v>
      </c>
      <c r="U34" s="744"/>
      <c r="V34" s="744">
        <f>ROUND(V19-V29,1)</f>
        <v>0</v>
      </c>
      <c r="W34" s="744"/>
      <c r="X34" s="744">
        <f>ROUND(X19-X29,1)</f>
        <v>0</v>
      </c>
      <c r="Y34" s="744"/>
      <c r="Z34" s="745"/>
      <c r="AA34" s="744">
        <f>ROUND(AA19-AA29,1)</f>
        <v>-156</v>
      </c>
      <c r="AB34" s="746"/>
      <c r="AC34" s="747"/>
      <c r="AD34" s="744">
        <f>ROUND(AD19-AD29,1)</f>
        <v>-105.5</v>
      </c>
      <c r="AE34" s="454"/>
      <c r="AF34" s="2526"/>
      <c r="AG34" s="2550">
        <f>ROUND(SUM(AG19-AG29),1)</f>
        <v>-50.5</v>
      </c>
      <c r="AH34" s="2551"/>
      <c r="AI34" s="2552">
        <f>-ROUND(IF(AG34=0,0,AG34/(AD34)),3)</f>
        <v>-0.47899999999999998</v>
      </c>
    </row>
    <row r="35" spans="1:35" ht="16.5" customHeight="1">
      <c r="A35" s="356"/>
      <c r="B35" s="743"/>
      <c r="C35" s="447"/>
      <c r="D35" s="743"/>
      <c r="E35" s="447"/>
      <c r="F35" s="743"/>
      <c r="G35" s="447"/>
      <c r="H35" s="743"/>
      <c r="I35" s="447"/>
      <c r="J35" s="743"/>
      <c r="K35" s="447"/>
      <c r="L35" s="743"/>
      <c r="M35" s="447"/>
      <c r="N35" s="743"/>
      <c r="O35" s="447"/>
      <c r="P35" s="743"/>
      <c r="Q35" s="447"/>
      <c r="R35" s="743"/>
      <c r="S35" s="447"/>
      <c r="T35" s="743"/>
      <c r="U35" s="447"/>
      <c r="V35" s="743"/>
      <c r="W35" s="447"/>
      <c r="X35" s="743"/>
      <c r="Y35" s="447"/>
      <c r="Z35" s="741"/>
      <c r="AA35" s="743"/>
      <c r="AB35" s="742"/>
      <c r="AC35" s="454"/>
      <c r="AD35" s="743"/>
      <c r="AE35" s="447"/>
      <c r="AF35" s="2526"/>
      <c r="AG35" s="2549"/>
      <c r="AI35" s="2534"/>
    </row>
    <row r="36" spans="1:35" ht="16.5" customHeight="1">
      <c r="A36" s="356"/>
      <c r="B36" s="447"/>
      <c r="C36" s="447"/>
      <c r="D36" s="447"/>
      <c r="E36" s="447"/>
      <c r="F36" s="447"/>
      <c r="G36" s="447"/>
      <c r="H36" s="447"/>
      <c r="I36" s="447"/>
      <c r="J36" s="447"/>
      <c r="K36" s="447"/>
      <c r="L36" s="447"/>
      <c r="M36" s="447"/>
      <c r="N36" s="447"/>
      <c r="O36" s="447"/>
      <c r="P36" s="447"/>
      <c r="Q36" s="447"/>
      <c r="R36" s="447"/>
      <c r="S36" s="447"/>
      <c r="T36" s="447"/>
      <c r="U36" s="447"/>
      <c r="V36" s="447"/>
      <c r="W36" s="447"/>
      <c r="X36" s="447"/>
      <c r="Y36" s="447"/>
      <c r="Z36" s="741"/>
      <c r="AA36" s="447"/>
      <c r="AB36" s="742"/>
      <c r="AC36" s="454"/>
      <c r="AD36" s="447"/>
      <c r="AE36" s="750"/>
      <c r="AF36" s="2530"/>
      <c r="AG36" s="2549"/>
      <c r="AI36" s="2534"/>
    </row>
    <row r="37" spans="1:35" ht="16.5" customHeight="1">
      <c r="A37" s="356"/>
      <c r="B37" s="447"/>
      <c r="C37" s="447"/>
      <c r="D37" s="447"/>
      <c r="E37" s="447"/>
      <c r="F37" s="447"/>
      <c r="G37" s="447"/>
      <c r="H37" s="447"/>
      <c r="I37" s="447"/>
      <c r="J37" s="447"/>
      <c r="K37" s="447"/>
      <c r="L37" s="447"/>
      <c r="M37" s="447"/>
      <c r="N37" s="447"/>
      <c r="O37" s="447"/>
      <c r="P37" s="447"/>
      <c r="Q37" s="447"/>
      <c r="R37" s="447"/>
      <c r="S37" s="447"/>
      <c r="T37" s="447"/>
      <c r="U37" s="447"/>
      <c r="V37" s="447"/>
      <c r="W37" s="447"/>
      <c r="X37" s="447"/>
      <c r="Y37" s="447"/>
      <c r="Z37" s="741"/>
      <c r="AA37" s="447"/>
      <c r="AB37" s="742"/>
      <c r="AC37" s="454"/>
      <c r="AD37" s="447"/>
      <c r="AE37" s="1934"/>
      <c r="AF37" s="2531"/>
      <c r="AG37" s="2549"/>
      <c r="AI37" s="2553"/>
    </row>
    <row r="38" spans="1:35" ht="16.5" customHeight="1">
      <c r="A38" s="466" t="s">
        <v>47</v>
      </c>
      <c r="B38" s="447"/>
      <c r="C38" s="447"/>
      <c r="D38" s="447"/>
      <c r="E38" s="447"/>
      <c r="F38" s="447"/>
      <c r="G38" s="447"/>
      <c r="H38" s="447"/>
      <c r="I38" s="447"/>
      <c r="J38" s="447"/>
      <c r="K38" s="447"/>
      <c r="L38" s="447"/>
      <c r="M38" s="447"/>
      <c r="N38" s="447"/>
      <c r="O38" s="447"/>
      <c r="P38" s="447"/>
      <c r="Q38" s="447"/>
      <c r="R38" s="447"/>
      <c r="S38" s="447"/>
      <c r="T38" s="447"/>
      <c r="U38" s="447"/>
      <c r="V38" s="447"/>
      <c r="W38" s="447"/>
      <c r="X38" s="447"/>
      <c r="Y38" s="447"/>
      <c r="Z38" s="741"/>
      <c r="AA38" s="447"/>
      <c r="AB38" s="742"/>
      <c r="AC38" s="454"/>
      <c r="AD38" s="447"/>
      <c r="AE38" s="735"/>
      <c r="AF38" s="2532"/>
      <c r="AG38" s="2559"/>
      <c r="AH38" s="2560"/>
      <c r="AI38" s="2553"/>
    </row>
    <row r="39" spans="1:35" ht="16.5" customHeight="1">
      <c r="A39" s="356" t="s">
        <v>191</v>
      </c>
      <c r="B39" s="709">
        <v>3.6</v>
      </c>
      <c r="C39" s="447"/>
      <c r="D39" s="740">
        <v>1.4</v>
      </c>
      <c r="E39" s="447"/>
      <c r="F39" s="740">
        <v>1.6</v>
      </c>
      <c r="G39" s="447"/>
      <c r="H39" s="740">
        <v>0.6</v>
      </c>
      <c r="I39" s="447"/>
      <c r="J39" s="740">
        <v>16.899999999999999</v>
      </c>
      <c r="K39" s="447"/>
      <c r="L39" s="740">
        <v>14.7</v>
      </c>
      <c r="M39" s="447"/>
      <c r="N39" s="740">
        <v>2</v>
      </c>
      <c r="O39" s="447"/>
      <c r="P39" s="740"/>
      <c r="Q39" s="447"/>
      <c r="R39" s="740"/>
      <c r="S39" s="447"/>
      <c r="T39" s="740"/>
      <c r="U39" s="447"/>
      <c r="V39" s="709"/>
      <c r="W39" s="447"/>
      <c r="X39" s="709"/>
      <c r="Y39" s="447"/>
      <c r="Z39" s="741"/>
      <c r="AA39" s="447">
        <f>ROUND(SUM(B39:X39),1)</f>
        <v>40.799999999999997</v>
      </c>
      <c r="AB39" s="742"/>
      <c r="AC39" s="454"/>
      <c r="AD39" s="748">
        <v>44.8</v>
      </c>
      <c r="AE39" s="1941"/>
      <c r="AF39" s="2530"/>
      <c r="AG39" s="2549">
        <f>ROUND(SUM(AA39-AD39),1)</f>
        <v>-4</v>
      </c>
      <c r="AH39" s="2554"/>
      <c r="AI39" s="2555">
        <f>ROUND(IF(AG39=0,0,AG39/(AD39)),3)</f>
        <v>-8.8999999999999996E-2</v>
      </c>
    </row>
    <row r="40" spans="1:35" ht="16.5" customHeight="1">
      <c r="A40" s="356" t="s">
        <v>192</v>
      </c>
      <c r="B40" s="455">
        <v>0</v>
      </c>
      <c r="C40" s="447"/>
      <c r="D40" s="449">
        <v>0</v>
      </c>
      <c r="E40" s="447"/>
      <c r="F40" s="449">
        <v>-1.1000000000000001</v>
      </c>
      <c r="G40" s="447"/>
      <c r="H40" s="709">
        <v>0</v>
      </c>
      <c r="I40" s="447"/>
      <c r="J40" s="449">
        <v>0</v>
      </c>
      <c r="K40" s="447"/>
      <c r="L40" s="740">
        <v>-16.399999999999999</v>
      </c>
      <c r="M40" s="447"/>
      <c r="N40" s="449">
        <v>0</v>
      </c>
      <c r="O40" s="447"/>
      <c r="P40" s="449"/>
      <c r="Q40" s="447"/>
      <c r="R40" s="449"/>
      <c r="S40" s="447"/>
      <c r="T40" s="449"/>
      <c r="U40" s="447"/>
      <c r="V40" s="740"/>
      <c r="W40" s="447"/>
      <c r="X40" s="709"/>
      <c r="Y40" s="447"/>
      <c r="Z40" s="741"/>
      <c r="AA40" s="447">
        <f>ROUND(SUM(B40:X40),1)</f>
        <v>-17.5</v>
      </c>
      <c r="AB40" s="742"/>
      <c r="AC40" s="454"/>
      <c r="AD40" s="447">
        <v>-6.4</v>
      </c>
      <c r="AE40" s="257"/>
      <c r="AF40" s="2530"/>
      <c r="AG40" s="2556">
        <f>-ROUND(SUM(AA40-AD40),1)</f>
        <v>11.1</v>
      </c>
      <c r="AH40" s="2554"/>
      <c r="AI40" s="2933">
        <f>-ROUND(IF(AG40=0,0,AG40/(AD40)),3)</f>
        <v>1.734</v>
      </c>
    </row>
    <row r="41" spans="1:35" ht="16.5" customHeight="1">
      <c r="A41" s="356"/>
      <c r="B41" s="743"/>
      <c r="C41" s="447"/>
      <c r="D41" s="743"/>
      <c r="E41" s="447"/>
      <c r="F41" s="743"/>
      <c r="G41" s="447"/>
      <c r="H41" s="743"/>
      <c r="I41" s="447"/>
      <c r="J41" s="743"/>
      <c r="K41" s="447"/>
      <c r="L41" s="743"/>
      <c r="M41" s="447"/>
      <c r="N41" s="743"/>
      <c r="O41" s="447"/>
      <c r="P41" s="743"/>
      <c r="Q41" s="447"/>
      <c r="R41" s="743"/>
      <c r="S41" s="447"/>
      <c r="T41" s="743"/>
      <c r="U41" s="447"/>
      <c r="V41" s="743"/>
      <c r="W41" s="447"/>
      <c r="X41" s="743"/>
      <c r="Y41" s="447"/>
      <c r="Z41" s="741"/>
      <c r="AA41" s="749"/>
      <c r="AB41" s="742"/>
      <c r="AC41" s="454"/>
      <c r="AD41" s="749"/>
      <c r="AE41" s="372"/>
      <c r="AF41" s="2530"/>
      <c r="AG41" s="2543"/>
    </row>
    <row r="42" spans="1:35" ht="16.5" customHeight="1">
      <c r="A42" s="466" t="s">
        <v>220</v>
      </c>
      <c r="B42" s="744">
        <f>ROUND(SUM(B39:B41),1)</f>
        <v>3.6</v>
      </c>
      <c r="C42" s="744"/>
      <c r="D42" s="744">
        <f>ROUND(SUM(D39:D41),1)</f>
        <v>1.4</v>
      </c>
      <c r="E42" s="744"/>
      <c r="F42" s="744">
        <f>ROUND(SUM(F39:F41),1)</f>
        <v>0.5</v>
      </c>
      <c r="G42" s="744"/>
      <c r="H42" s="744">
        <f>ROUND(SUM(H39:H41),1)</f>
        <v>0.6</v>
      </c>
      <c r="I42" s="744"/>
      <c r="J42" s="744">
        <f>ROUND(SUM(J39:J41),1)</f>
        <v>16.899999999999999</v>
      </c>
      <c r="K42" s="744"/>
      <c r="L42" s="744">
        <f>ROUND(SUM(L39:L41),1)</f>
        <v>-1.7</v>
      </c>
      <c r="M42" s="744"/>
      <c r="N42" s="744">
        <f>ROUND(SUM(N39:N41),1)</f>
        <v>2</v>
      </c>
      <c r="O42" s="744"/>
      <c r="P42" s="744">
        <f>ROUND(SUM(P39:P41),1)</f>
        <v>0</v>
      </c>
      <c r="Q42" s="744"/>
      <c r="R42" s="744">
        <f>ROUND(SUM(R39:R41),1)</f>
        <v>0</v>
      </c>
      <c r="S42" s="744"/>
      <c r="T42" s="744">
        <f>ROUND(SUM(T39:T41),1)</f>
        <v>0</v>
      </c>
      <c r="U42" s="744"/>
      <c r="V42" s="744">
        <f>ROUND(SUM(V39:V41),1)</f>
        <v>0</v>
      </c>
      <c r="W42" s="744"/>
      <c r="X42" s="744">
        <f>ROUND(SUM(X39:X41),1)</f>
        <v>0</v>
      </c>
      <c r="Y42" s="744"/>
      <c r="Z42" s="745"/>
      <c r="AA42" s="744">
        <f>ROUND(SUM(AA39:AA41),1)</f>
        <v>23.3</v>
      </c>
      <c r="AB42" s="746"/>
      <c r="AC42" s="747"/>
      <c r="AD42" s="744">
        <f>ROUND(SUM(AD39:AD41),1)</f>
        <v>38.4</v>
      </c>
      <c r="AF42" s="2527"/>
      <c r="AG42" s="2550">
        <f>ROUND(SUM(AG39-AG40),1)</f>
        <v>-15.1</v>
      </c>
      <c r="AH42" s="2561"/>
      <c r="AI42" s="2552">
        <f>ROUND(IF(AG42=0,0,AG42/(AD42)),3)</f>
        <v>-0.39300000000000002</v>
      </c>
    </row>
    <row r="43" spans="1:35" ht="16.5" customHeight="1">
      <c r="A43" s="356"/>
      <c r="B43" s="743"/>
      <c r="C43" s="447"/>
      <c r="D43" s="743"/>
      <c r="E43" s="447"/>
      <c r="F43" s="743"/>
      <c r="G43" s="447"/>
      <c r="H43" s="743"/>
      <c r="I43" s="447"/>
      <c r="J43" s="743"/>
      <c r="K43" s="447"/>
      <c r="L43" s="743"/>
      <c r="M43" s="447"/>
      <c r="N43" s="743"/>
      <c r="O43" s="447"/>
      <c r="P43" s="743"/>
      <c r="Q43" s="447"/>
      <c r="R43" s="743"/>
      <c r="S43" s="447"/>
      <c r="T43" s="743"/>
      <c r="U43" s="447"/>
      <c r="V43" s="743"/>
      <c r="W43" s="447"/>
      <c r="X43" s="743"/>
      <c r="Y43" s="447"/>
      <c r="Z43" s="741"/>
      <c r="AA43" s="743"/>
      <c r="AB43" s="742"/>
      <c r="AC43" s="454"/>
      <c r="AD43" s="743"/>
      <c r="AE43" s="372"/>
      <c r="AF43" s="2530"/>
      <c r="AG43" s="2543"/>
    </row>
    <row r="44" spans="1:35" ht="16.5" customHeight="1">
      <c r="A44" s="356"/>
      <c r="B44" s="447"/>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741"/>
      <c r="AA44" s="447"/>
      <c r="AB44" s="742"/>
      <c r="AC44" s="454"/>
      <c r="AD44" s="447"/>
      <c r="AE44" s="372"/>
      <c r="AF44" s="2530"/>
      <c r="AG44" s="2543"/>
    </row>
    <row r="45" spans="1:35" ht="16.5" customHeight="1">
      <c r="A45" s="356"/>
      <c r="B45" s="447"/>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741"/>
      <c r="AA45" s="447"/>
      <c r="AB45" s="742"/>
      <c r="AC45" s="454"/>
      <c r="AD45" s="447"/>
      <c r="AE45" s="372"/>
      <c r="AF45" s="2530"/>
    </row>
    <row r="46" spans="1:35" ht="16.5" customHeight="1">
      <c r="A46" s="466" t="s">
        <v>174</v>
      </c>
      <c r="B46" s="447"/>
      <c r="C46" s="447"/>
      <c r="D46" s="447"/>
      <c r="E46" s="447"/>
      <c r="F46" s="447"/>
      <c r="G46" s="447"/>
      <c r="H46" s="447"/>
      <c r="I46" s="447"/>
      <c r="J46" s="447"/>
      <c r="K46" s="447"/>
      <c r="L46" s="447"/>
      <c r="M46" s="447"/>
      <c r="N46" s="447"/>
      <c r="O46" s="447"/>
      <c r="P46" s="447"/>
      <c r="Q46" s="447"/>
      <c r="R46" s="447"/>
      <c r="S46" s="447"/>
      <c r="T46" s="447"/>
      <c r="U46" s="447"/>
      <c r="V46" s="447"/>
      <c r="W46" s="447"/>
      <c r="X46" s="447"/>
      <c r="Y46" s="447"/>
      <c r="Z46" s="741"/>
      <c r="AA46" s="447"/>
      <c r="AB46" s="742"/>
      <c r="AC46" s="454"/>
      <c r="AD46" s="447"/>
      <c r="AE46" s="372"/>
      <c r="AF46" s="2530"/>
    </row>
    <row r="47" spans="1:35" ht="16.5" customHeight="1">
      <c r="A47" s="466" t="s">
        <v>240</v>
      </c>
      <c r="B47" s="447"/>
      <c r="C47" s="447"/>
      <c r="D47" s="447"/>
      <c r="E47" s="447"/>
      <c r="F47" s="447"/>
      <c r="G47" s="447"/>
      <c r="H47" s="447"/>
      <c r="I47" s="447"/>
      <c r="J47" s="447"/>
      <c r="K47" s="447"/>
      <c r="L47" s="447"/>
      <c r="M47" s="447"/>
      <c r="N47" s="447"/>
      <c r="O47" s="447"/>
      <c r="P47" s="447"/>
      <c r="Q47" s="447"/>
      <c r="R47" s="447"/>
      <c r="S47" s="447"/>
      <c r="T47" s="447"/>
      <c r="U47" s="447"/>
      <c r="V47" s="447"/>
      <c r="W47" s="447"/>
      <c r="X47" s="447"/>
      <c r="Y47" s="447"/>
      <c r="Z47" s="741"/>
      <c r="AA47" s="447"/>
      <c r="AB47" s="742"/>
      <c r="AC47" s="454"/>
      <c r="AD47" s="447"/>
      <c r="AE47" s="227"/>
      <c r="AF47" s="2527"/>
    </row>
    <row r="48" spans="1:35" s="427" customFormat="1" ht="16.5" customHeight="1">
      <c r="A48" s="466" t="s">
        <v>176</v>
      </c>
      <c r="B48" s="744">
        <f>ROUND(SUM(B34,B42),1)</f>
        <v>-13.4</v>
      </c>
      <c r="C48" s="744"/>
      <c r="D48" s="744">
        <f>ROUND(SUM(D34,D42),1)</f>
        <v>-30.5</v>
      </c>
      <c r="E48" s="744"/>
      <c r="F48" s="744">
        <f>ROUND(SUM(F34,F42),1)</f>
        <v>-35.6</v>
      </c>
      <c r="G48" s="744"/>
      <c r="H48" s="744">
        <f>ROUND(SUM(H34,H42),1)</f>
        <v>-10.4</v>
      </c>
      <c r="I48" s="744"/>
      <c r="J48" s="744">
        <f>ROUND(SUM(J34,J42),1)</f>
        <v>19.600000000000001</v>
      </c>
      <c r="K48" s="744"/>
      <c r="L48" s="744">
        <f>ROUND(SUM(L34,L42),1)</f>
        <v>-40.4</v>
      </c>
      <c r="M48" s="744"/>
      <c r="N48" s="744">
        <f>ROUND(SUM(N34,N42),1)</f>
        <v>-22</v>
      </c>
      <c r="O48" s="744"/>
      <c r="P48" s="744">
        <f>ROUND(SUM(P34,P42),1)</f>
        <v>0</v>
      </c>
      <c r="Q48" s="744"/>
      <c r="R48" s="744">
        <f>ROUND(SUM(R34,R42),1)</f>
        <v>0</v>
      </c>
      <c r="S48" s="744"/>
      <c r="T48" s="744">
        <f>ROUND(SUM(T34,T42),1)</f>
        <v>0</v>
      </c>
      <c r="U48" s="744"/>
      <c r="V48" s="744">
        <f>ROUND(SUM(V34,V42),1)</f>
        <v>0</v>
      </c>
      <c r="W48" s="744"/>
      <c r="X48" s="744">
        <f>ROUND(SUM(X34,X42),1)</f>
        <v>0</v>
      </c>
      <c r="Y48" s="744"/>
      <c r="Z48" s="745"/>
      <c r="AA48" s="750">
        <f>ROUND(AA34+AA42,1)</f>
        <v>-132.69999999999999</v>
      </c>
      <c r="AB48" s="746"/>
      <c r="AC48" s="747"/>
      <c r="AD48" s="750">
        <f>ROUND(AD34+AD42,1)</f>
        <v>-67.099999999999994</v>
      </c>
      <c r="AE48" s="755"/>
      <c r="AF48" s="2527"/>
      <c r="AG48" s="2550">
        <f>ROUND(SUM(AG34+AG42),1)</f>
        <v>-65.599999999999994</v>
      </c>
      <c r="AH48" s="2523"/>
      <c r="AI48" s="2552">
        <f>-ROUND(IF(AG48=0,0,AG48/(AD48)),3)</f>
        <v>-0.97799999999999998</v>
      </c>
    </row>
    <row r="49" spans="1:35" ht="16.5" customHeight="1">
      <c r="A49" s="356"/>
      <c r="B49" s="751"/>
      <c r="C49" s="736"/>
      <c r="D49" s="751"/>
      <c r="E49" s="736"/>
      <c r="F49" s="751"/>
      <c r="G49" s="736"/>
      <c r="H49" s="751"/>
      <c r="I49" s="736"/>
      <c r="J49" s="751"/>
      <c r="K49" s="736"/>
      <c r="L49" s="751"/>
      <c r="M49" s="736"/>
      <c r="N49" s="751"/>
      <c r="O49" s="736"/>
      <c r="P49" s="751"/>
      <c r="Q49" s="736"/>
      <c r="R49" s="751"/>
      <c r="S49" s="736"/>
      <c r="T49" s="751"/>
      <c r="U49" s="736"/>
      <c r="V49" s="751"/>
      <c r="W49" s="736"/>
      <c r="X49" s="751"/>
      <c r="Y49" s="736"/>
      <c r="Z49" s="737"/>
      <c r="AA49" s="751"/>
      <c r="AB49" s="738"/>
      <c r="AC49" s="739"/>
      <c r="AD49" s="751"/>
      <c r="AF49" s="2527"/>
      <c r="AI49" s="2534"/>
    </row>
    <row r="50" spans="1:35" ht="16.5" customHeight="1" thickBot="1">
      <c r="A50" s="657" t="s">
        <v>148</v>
      </c>
      <c r="B50" s="732">
        <f>ROUND(SUM(B14,B48),1)</f>
        <v>-86.1</v>
      </c>
      <c r="C50" s="732"/>
      <c r="D50" s="732">
        <f>ROUND(SUM(D14,D48),1)</f>
        <v>-116.6</v>
      </c>
      <c r="E50" s="732"/>
      <c r="F50" s="732">
        <f>ROUND(SUM(F14,F48),1)</f>
        <v>-152.19999999999999</v>
      </c>
      <c r="G50" s="732"/>
      <c r="H50" s="732">
        <f>ROUND(SUM(H14,H48),1)</f>
        <v>-162.6</v>
      </c>
      <c r="I50" s="732"/>
      <c r="J50" s="732">
        <f>ROUND(SUM(J14,J48),1)</f>
        <v>-143</v>
      </c>
      <c r="K50" s="732"/>
      <c r="L50" s="732">
        <f>ROUND(SUM(L14,L48),1)</f>
        <v>-183.4</v>
      </c>
      <c r="M50" s="732"/>
      <c r="N50" s="732">
        <f>ROUND(SUM(N14,N48),1)</f>
        <v>-205.4</v>
      </c>
      <c r="O50" s="732"/>
      <c r="P50" s="732">
        <f>ROUND(SUM(P14,P48),1)</f>
        <v>0</v>
      </c>
      <c r="Q50" s="732"/>
      <c r="R50" s="752">
        <f>ROUND(SUM(R14,R48),1)</f>
        <v>0</v>
      </c>
      <c r="S50" s="732"/>
      <c r="T50" s="732">
        <f>ROUND(SUM(T14,T48),1)</f>
        <v>0</v>
      </c>
      <c r="U50" s="732"/>
      <c r="V50" s="732">
        <f>ROUND(SUM(V14,V48),1)</f>
        <v>0</v>
      </c>
      <c r="W50" s="732"/>
      <c r="X50" s="732">
        <f>ROUND(SUM(X14,X48),1)</f>
        <v>0</v>
      </c>
      <c r="Y50" s="732"/>
      <c r="Z50" s="733"/>
      <c r="AA50" s="732">
        <f>ROUND(SUM(AA14,AA48),1)</f>
        <v>-205.4</v>
      </c>
      <c r="AB50" s="734"/>
      <c r="AC50" s="735"/>
      <c r="AD50" s="732">
        <f>ROUND(SUM(AD14,AD48),1)</f>
        <v>-73.5</v>
      </c>
      <c r="AF50" s="2527"/>
      <c r="AG50" s="2562">
        <f>ROUND(SUM(AA50-AD50),1)</f>
        <v>-131.9</v>
      </c>
      <c r="AH50" s="2560"/>
      <c r="AI50" s="2563">
        <f>-ROUND(IF(AG50=0,0,AG50/(AD50)),3)</f>
        <v>-1.7949999999999999</v>
      </c>
    </row>
    <row r="51" spans="1:35" ht="16.5" customHeight="1" thickTop="1">
      <c r="A51" s="356"/>
      <c r="B51" s="753"/>
      <c r="C51" s="736"/>
      <c r="D51" s="753"/>
      <c r="E51" s="736"/>
      <c r="F51" s="753"/>
      <c r="G51" s="736"/>
      <c r="H51" s="753"/>
      <c r="I51" s="736"/>
      <c r="J51" s="753"/>
      <c r="K51" s="736"/>
      <c r="L51" s="753"/>
      <c r="M51" s="736"/>
      <c r="N51" s="753"/>
      <c r="O51" s="736"/>
      <c r="P51" s="753"/>
      <c r="Q51" s="736"/>
      <c r="R51" s="739"/>
      <c r="S51" s="736"/>
      <c r="T51" s="753"/>
      <c r="U51" s="736"/>
      <c r="V51" s="753"/>
      <c r="W51" s="736"/>
      <c r="X51" s="753"/>
      <c r="Y51" s="736"/>
      <c r="Z51" s="736"/>
      <c r="AA51" s="753"/>
      <c r="AB51" s="736"/>
      <c r="AC51" s="736"/>
      <c r="AD51" s="753"/>
    </row>
    <row r="53" spans="1:35" ht="16.5" customHeight="1">
      <c r="A53" s="754"/>
    </row>
    <row r="54" spans="1:35" ht="16.5" customHeight="1">
      <c r="A54" s="462"/>
    </row>
  </sheetData>
  <customSheetViews>
    <customSheetView guid="{BD09DBC2-63A5-4D9C-9B00-4281066E9389}" scale="60" showPageBreaks="1" showGridLines="0" outlineSymbols="0" fitToPage="1" printArea="1" topLeftCell="A13">
      <selection activeCell="P40" sqref="P40"/>
      <pageMargins left="0.5" right="0.5" top="1" bottom="0.5" header="0" footer="0.25"/>
      <pageSetup scale="41" firstPageNumber="35" orientation="landscape" useFirstPageNumber="1" r:id="rId1"/>
      <headerFooter scaleWithDoc="0" alignWithMargins="0">
        <oddFooter>&amp;C&amp;8&amp;P</oddFooter>
      </headerFooter>
    </customSheetView>
    <customSheetView guid="{C82E0A7D-2B5B-48FC-A705-3168E651E04C}" scale="60" showPageBreaks="1" showGridLines="0" outlineSymbols="0" fitToPage="1" printArea="1">
      <selection activeCell="AI14" sqref="AI14"/>
      <pageMargins left="0.5" right="0.5" top="1" bottom="0.5" header="0" footer="0.25"/>
      <pageSetup scale="41" orientation="landscape" r:id="rId2"/>
      <headerFooter scaleWithDoc="0" alignWithMargins="0">
        <oddFooter>&amp;C&amp;8 35</oddFooter>
      </headerFooter>
    </customSheetView>
    <customSheetView guid="{A8B05C3B-0E7E-44A3-A097-AF4C5C09F04E}" scale="60" showPageBreaks="1" showGridLines="0" outlineSymbols="0" fitToPage="1" printArea="1" topLeftCell="A7">
      <selection activeCell="N17" sqref="N17"/>
      <pageMargins left="0.5" right="0.5" top="1" bottom="0.5" header="0" footer="0.25"/>
      <pageSetup scale="41" orientation="landscape" r:id="rId3"/>
      <headerFooter scaleWithDoc="0" alignWithMargins="0">
        <oddFooter>&amp;C&amp;8 35</oddFooter>
      </headerFooter>
    </customSheetView>
    <customSheetView guid="{8EE6466D-211E-4E05-9F84-CC0A1C6F79F4}" scale="60" showGridLines="0" outlineSymbols="0" fitToPage="1">
      <selection activeCell="AI14" sqref="AI14"/>
      <pageMargins left="0.5" right="0.5" top="1" bottom="0.5" header="0" footer="0.25"/>
      <pageSetup scale="41" orientation="landscape" r:id="rId4"/>
      <headerFooter scaleWithDoc="0" alignWithMargins="0">
        <oddFooter>&amp;C&amp;8 35</oddFooter>
      </headerFooter>
    </customSheetView>
    <customSheetView guid="{4735AAE3-27B4-4549-AAB4-50ACA997F5F5}" scale="60" showPageBreaks="1" showGridLines="0" outlineSymbols="0" fitToPage="1" printArea="1" topLeftCell="A13">
      <selection activeCell="AI17" sqref="AI17"/>
      <pageMargins left="0.5" right="0.5" top="1" bottom="0.5" header="0" footer="0.25"/>
      <pageSetup scale="41" orientation="landscape" r:id="rId5"/>
      <headerFooter scaleWithDoc="0" alignWithMargins="0">
        <oddFooter>&amp;C&amp;8 35</oddFooter>
      </headerFooter>
    </customSheetView>
    <customSheetView guid="{80622567-647A-4891-B8EE-6B9E2C4DAC44}" scale="60" showPageBreaks="1" showGridLines="0" outlineSymbols="0" fitToPage="1" printArea="1" topLeftCell="A7">
      <selection activeCell="AA41" sqref="AA41"/>
      <pageMargins left="0.5" right="0.5" top="1" bottom="0.5" header="0" footer="0.25"/>
      <pageSetup scale="41" orientation="landscape" r:id="rId6"/>
      <headerFooter scaleWithDoc="0" alignWithMargins="0">
        <oddFooter>&amp;C&amp;8 35</oddFooter>
      </headerFooter>
    </customSheetView>
    <customSheetView guid="{A97EE6C3-4DA8-41BD-BE43-F596EFCB43CA}" scale="60" showPageBreaks="1" showGridLines="0" outlineSymbols="0" fitToPage="1" printArea="1" topLeftCell="A10">
      <selection activeCell="AA41" sqref="AA41"/>
      <pageMargins left="0.5" right="0.5" top="1" bottom="0.5" header="0" footer="0.25"/>
      <pageSetup scale="41" orientation="landscape" r:id="rId7"/>
      <headerFooter scaleWithDoc="0" alignWithMargins="0">
        <oddFooter>&amp;C&amp;8 35</oddFooter>
      </headerFooter>
    </customSheetView>
    <customSheetView guid="{90B76C5A-2FC4-40F0-8436-3E4F075A4887}" scale="70" showPageBreaks="1" showGridLines="0" outlineSymbols="0" fitToPage="1" printArea="1" topLeftCell="G16">
      <selection activeCell="AA41" sqref="AA41"/>
      <pageMargins left="0.5" right="0.5" top="1" bottom="0.5" header="0" footer="0.25"/>
      <pageSetup scale="40" orientation="landscape" r:id="rId8"/>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9"/>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sheetPr codeName="Sheet26">
    <pageSetUpPr autoPageBreaks="0" fitToPage="1"/>
  </sheetPr>
  <dimension ref="A1:AI47"/>
  <sheetViews>
    <sheetView showGridLines="0" showOutlineSymbols="0" zoomScale="70" zoomScaleNormal="70" zoomScaleSheetLayoutView="75" workbookViewId="0"/>
  </sheetViews>
  <sheetFormatPr defaultColWidth="8.88671875" defaultRowHeight="18"/>
  <cols>
    <col min="1" max="1" width="45.5546875" style="755" customWidth="1"/>
    <col min="2" max="2" width="8.6640625" style="755" customWidth="1"/>
    <col min="3" max="3" width="1.6640625" style="755" customWidth="1"/>
    <col min="4" max="4" width="8.6640625" style="755" customWidth="1"/>
    <col min="5" max="5" width="1.6640625" style="755" customWidth="1"/>
    <col min="6" max="6" width="8.6640625" style="755" customWidth="1"/>
    <col min="7" max="7" width="1.6640625" style="755" customWidth="1"/>
    <col min="8" max="8" width="8.6640625" style="755" customWidth="1"/>
    <col min="9" max="9" width="1.6640625" style="755" customWidth="1"/>
    <col min="10" max="10" width="10.6640625" style="755" customWidth="1"/>
    <col min="11" max="11" width="1.6640625" style="755" customWidth="1"/>
    <col min="12" max="12" width="14.88671875" style="755" bestFit="1" customWidth="1"/>
    <col min="13" max="13" width="1.6640625" style="755" customWidth="1"/>
    <col min="14" max="14" width="12" style="755" bestFit="1" customWidth="1"/>
    <col min="15" max="15" width="1.6640625" style="755" customWidth="1"/>
    <col min="16" max="16" width="13.5546875" style="755" bestFit="1" customWidth="1"/>
    <col min="17" max="17" width="1.6640625" style="755" customWidth="1"/>
    <col min="18" max="18" width="13.5546875" style="755" bestFit="1" customWidth="1"/>
    <col min="19" max="19" width="1.6640625" style="755" customWidth="1"/>
    <col min="20" max="20" width="11" style="755" bestFit="1" customWidth="1"/>
    <col min="21" max="21" width="1.6640625" style="755" customWidth="1"/>
    <col min="22" max="22" width="12.77734375" style="755" bestFit="1" customWidth="1"/>
    <col min="23" max="23" width="1.6640625" style="755" customWidth="1"/>
    <col min="24" max="24" width="8.6640625" style="755" customWidth="1"/>
    <col min="25" max="26" width="1.6640625" style="755" customWidth="1"/>
    <col min="27" max="27" width="10.109375" style="755" customWidth="1"/>
    <col min="28" max="29" width="1.77734375" style="755" customWidth="1"/>
    <col min="30" max="30" width="10.109375" style="1891" customWidth="1"/>
    <col min="31" max="31" width="1.77734375" style="2533" customWidth="1"/>
    <col min="32" max="32" width="2.44140625" style="2533" customWidth="1"/>
    <col min="33" max="33" width="10.33203125" style="2534" bestFit="1" customWidth="1"/>
    <col min="34" max="34" width="1.6640625" style="2534" customWidth="1"/>
    <col min="35" max="35" width="11.109375" style="2533" customWidth="1"/>
    <col min="36" max="16384" width="8.88671875" style="755"/>
  </cols>
  <sheetData>
    <row r="1" spans="1:35">
      <c r="A1" s="1227" t="s">
        <v>1322</v>
      </c>
    </row>
    <row r="2" spans="1:35">
      <c r="A2" s="1874"/>
    </row>
    <row r="3" spans="1:35" ht="20.25" customHeight="1">
      <c r="A3" s="1885" t="s">
        <v>0</v>
      </c>
      <c r="B3" s="227"/>
      <c r="C3" s="227"/>
      <c r="D3" s="227"/>
      <c r="E3" s="227"/>
      <c r="F3" s="227"/>
      <c r="G3" s="227"/>
      <c r="H3" s="227"/>
      <c r="I3" s="227"/>
      <c r="J3" s="227"/>
      <c r="K3" s="225"/>
      <c r="L3" s="225"/>
      <c r="M3" s="227"/>
      <c r="N3" s="227"/>
      <c r="O3" s="227"/>
      <c r="P3" s="227"/>
      <c r="Q3" s="227"/>
      <c r="R3" s="227"/>
      <c r="S3" s="227"/>
      <c r="T3" s="227"/>
      <c r="U3" s="227"/>
      <c r="V3" s="227"/>
      <c r="W3" s="227"/>
      <c r="X3" s="227"/>
      <c r="Y3" s="227"/>
      <c r="Z3" s="227"/>
      <c r="AA3" s="227"/>
      <c r="AB3" s="227"/>
      <c r="AC3" s="227"/>
      <c r="AD3" s="356"/>
      <c r="AI3" s="2587" t="s">
        <v>238</v>
      </c>
    </row>
    <row r="4" spans="1:35" ht="20.25" customHeight="1">
      <c r="A4" s="1886" t="s">
        <v>237</v>
      </c>
      <c r="B4" s="227"/>
      <c r="C4" s="227"/>
      <c r="D4" s="227"/>
      <c r="E4" s="227"/>
      <c r="F4" s="227"/>
      <c r="G4" s="227"/>
      <c r="H4" s="225" t="s">
        <v>16</v>
      </c>
      <c r="I4" s="227"/>
      <c r="J4" s="227"/>
      <c r="K4" s="225"/>
      <c r="L4" s="225"/>
      <c r="M4" s="227"/>
      <c r="N4" s="227"/>
      <c r="O4" s="227"/>
      <c r="P4" s="227"/>
      <c r="Q4" s="227"/>
      <c r="R4" s="227"/>
      <c r="S4" s="227"/>
      <c r="T4" s="227"/>
      <c r="U4" s="227"/>
      <c r="V4" s="227"/>
      <c r="W4" s="227"/>
      <c r="X4" s="227" t="s">
        <v>16</v>
      </c>
      <c r="Y4" s="227"/>
      <c r="Z4" s="227"/>
      <c r="AA4" s="227"/>
      <c r="AB4" s="227"/>
      <c r="AC4" s="227"/>
      <c r="AD4" s="356"/>
    </row>
    <row r="5" spans="1:35" ht="20.25" customHeight="1">
      <c r="A5" s="1887" t="s">
        <v>129</v>
      </c>
      <c r="B5" s="227"/>
      <c r="C5" s="227"/>
      <c r="D5" s="227"/>
      <c r="E5" s="227"/>
      <c r="F5" s="227"/>
      <c r="G5" s="227"/>
      <c r="H5" s="227"/>
      <c r="I5" s="227"/>
      <c r="J5" s="227"/>
      <c r="K5" s="225"/>
      <c r="L5" s="225"/>
      <c r="M5" s="227"/>
      <c r="N5" s="227"/>
      <c r="O5" s="227"/>
      <c r="P5" s="227"/>
      <c r="Q5" s="227"/>
      <c r="R5" s="227"/>
      <c r="S5" s="227"/>
      <c r="T5" s="227"/>
      <c r="U5" s="227"/>
      <c r="V5" s="227"/>
      <c r="W5" s="227"/>
      <c r="X5" s="227"/>
      <c r="Y5" s="227"/>
      <c r="Z5" s="227"/>
      <c r="AB5" s="756"/>
      <c r="AC5" s="756"/>
      <c r="AE5" s="2566"/>
    </row>
    <row r="6" spans="1:35" ht="20.25" customHeight="1">
      <c r="A6" s="1887" t="s">
        <v>1423</v>
      </c>
      <c r="B6" s="227"/>
      <c r="C6" s="227"/>
      <c r="D6" s="227"/>
      <c r="E6" s="227"/>
      <c r="F6" s="227"/>
      <c r="G6" s="227"/>
      <c r="H6" s="227"/>
      <c r="I6" s="227"/>
      <c r="J6" s="227"/>
      <c r="K6" s="225"/>
      <c r="L6" s="225"/>
      <c r="M6" s="227"/>
      <c r="N6" s="227"/>
      <c r="O6" s="227"/>
      <c r="P6" s="227"/>
      <c r="Q6" s="227"/>
      <c r="R6" s="227"/>
      <c r="S6" s="227"/>
      <c r="T6" s="227"/>
      <c r="U6" s="227"/>
      <c r="V6" s="227"/>
      <c r="W6" s="227"/>
      <c r="X6" s="227"/>
      <c r="Y6" s="227"/>
      <c r="Z6" s="227"/>
      <c r="AA6" s="227"/>
      <c r="AB6" s="227"/>
      <c r="AC6" s="227"/>
      <c r="AD6" s="356"/>
    </row>
    <row r="7" spans="1:35" ht="20.25" customHeight="1">
      <c r="A7" s="1885" t="s">
        <v>1198</v>
      </c>
      <c r="B7" s="227"/>
      <c r="C7" s="227"/>
      <c r="D7" s="227"/>
      <c r="E7" s="227"/>
      <c r="F7" s="227"/>
      <c r="G7" s="227"/>
      <c r="H7" s="227"/>
      <c r="I7" s="227"/>
      <c r="J7" s="227"/>
      <c r="K7" s="225"/>
      <c r="L7" s="227"/>
      <c r="M7" s="227"/>
      <c r="N7" s="227"/>
      <c r="O7" s="227"/>
      <c r="P7" s="227"/>
      <c r="Q7" s="227"/>
      <c r="R7" s="227"/>
      <c r="S7" s="227"/>
      <c r="T7" s="227"/>
      <c r="U7" s="227"/>
      <c r="V7" s="227"/>
      <c r="W7" s="227"/>
      <c r="X7" s="227"/>
      <c r="Y7" s="227"/>
      <c r="Z7" s="227"/>
      <c r="AA7" s="227"/>
      <c r="AB7" s="227"/>
      <c r="AC7" s="227"/>
      <c r="AD7" s="356"/>
    </row>
    <row r="8" spans="1:35" s="757" customFormat="1" ht="18.95" customHeight="1">
      <c r="A8" s="657"/>
      <c r="B8" s="227"/>
      <c r="C8" s="227"/>
      <c r="D8" s="227"/>
      <c r="E8" s="227"/>
      <c r="F8" s="227"/>
      <c r="G8" s="227"/>
      <c r="H8" s="227"/>
      <c r="I8" s="227"/>
      <c r="J8" s="227"/>
      <c r="K8" s="227"/>
      <c r="L8" s="227"/>
      <c r="M8" s="227"/>
      <c r="N8" s="227"/>
      <c r="O8" s="227"/>
      <c r="P8" s="227"/>
      <c r="Q8" s="227"/>
      <c r="R8" s="227"/>
      <c r="S8" s="227"/>
      <c r="T8" s="227"/>
      <c r="U8" s="227"/>
      <c r="V8" s="227"/>
      <c r="W8" s="227"/>
      <c r="X8" s="227"/>
      <c r="Y8" s="227"/>
      <c r="Z8" s="356"/>
      <c r="AA8" s="356"/>
      <c r="AB8" s="356"/>
      <c r="AC8" s="356"/>
      <c r="AD8" s="356"/>
      <c r="AE8" s="2533"/>
      <c r="AF8" s="2533"/>
      <c r="AG8" s="2534"/>
      <c r="AH8" s="2534"/>
      <c r="AI8" s="2533"/>
    </row>
    <row r="9" spans="1:35" s="757" customFormat="1" ht="18.95" customHeight="1">
      <c r="A9" s="1407"/>
      <c r="B9" s="1407"/>
      <c r="C9" s="1407"/>
      <c r="D9" s="1407"/>
      <c r="E9" s="1407"/>
      <c r="F9" s="1407"/>
      <c r="G9" s="1407"/>
      <c r="H9" s="225"/>
      <c r="I9" s="225"/>
      <c r="J9" s="225"/>
      <c r="K9" s="1407"/>
      <c r="L9" s="1407"/>
      <c r="M9" s="1407"/>
      <c r="N9" s="1407"/>
      <c r="O9" s="1407"/>
      <c r="P9" s="1407"/>
      <c r="Q9" s="1407"/>
      <c r="R9" s="1407"/>
      <c r="S9" s="1407"/>
      <c r="T9" s="1407"/>
      <c r="U9" s="1407"/>
      <c r="V9" s="1407"/>
      <c r="W9" s="1407"/>
      <c r="X9" s="1407"/>
      <c r="Y9" s="1407"/>
      <c r="Z9" s="356"/>
      <c r="AA9" s="356"/>
      <c r="AB9" s="356"/>
      <c r="AC9" s="3371"/>
      <c r="AD9" s="3372"/>
      <c r="AE9" s="3372"/>
      <c r="AF9" s="3372"/>
      <c r="AG9" s="3372"/>
      <c r="AH9" s="3372"/>
      <c r="AI9" s="3372"/>
    </row>
    <row r="10" spans="1:35" s="757" customFormat="1" ht="18.95" customHeight="1">
      <c r="A10" s="356"/>
      <c r="B10" s="356"/>
      <c r="C10" s="356"/>
      <c r="D10" s="356"/>
      <c r="E10" s="356"/>
      <c r="F10" s="356"/>
      <c r="G10" s="356"/>
      <c r="H10" s="356"/>
      <c r="I10" s="356"/>
      <c r="J10" s="356"/>
      <c r="K10" s="356"/>
      <c r="L10" s="356"/>
      <c r="M10" s="356"/>
      <c r="N10" s="356"/>
      <c r="O10" s="356"/>
      <c r="P10" s="356"/>
      <c r="Q10" s="356"/>
      <c r="R10" s="356"/>
      <c r="S10" s="356"/>
      <c r="T10" s="356"/>
      <c r="U10" s="356"/>
      <c r="V10" s="1888"/>
      <c r="W10" s="1889"/>
      <c r="X10" s="1890"/>
      <c r="Y10" s="1891"/>
      <c r="Z10" s="3373" t="s">
        <v>1630</v>
      </c>
      <c r="AA10" s="3373"/>
      <c r="AB10" s="3373"/>
      <c r="AC10" s="3373"/>
      <c r="AD10" s="3373"/>
      <c r="AE10" s="3373"/>
      <c r="AF10" s="3373"/>
      <c r="AG10" s="3373"/>
      <c r="AH10" s="3373"/>
      <c r="AI10" s="3373"/>
    </row>
    <row r="11" spans="1:35" s="757" customFormat="1" ht="18.95" customHeight="1">
      <c r="A11" s="356"/>
      <c r="B11" s="1671">
        <v>2014</v>
      </c>
      <c r="C11" s="466"/>
      <c r="D11" s="466"/>
      <c r="E11" s="466"/>
      <c r="F11" s="466"/>
      <c r="G11" s="466"/>
      <c r="H11" s="466"/>
      <c r="I11" s="466"/>
      <c r="J11" s="466"/>
      <c r="K11" s="466"/>
      <c r="L11" s="466"/>
      <c r="M11" s="466"/>
      <c r="N11" s="466"/>
      <c r="O11" s="466"/>
      <c r="P11" s="466"/>
      <c r="Q11" s="466"/>
      <c r="R11" s="466"/>
      <c r="S11" s="466"/>
      <c r="T11" s="1671">
        <v>2015</v>
      </c>
      <c r="U11" s="466"/>
      <c r="V11" s="466"/>
      <c r="W11" s="466"/>
      <c r="X11" s="466"/>
      <c r="Y11" s="466"/>
      <c r="Z11" s="1672"/>
      <c r="AA11" s="1672"/>
      <c r="AB11" s="1672"/>
      <c r="AC11" s="1672"/>
      <c r="AD11" s="2259"/>
      <c r="AE11" s="2567"/>
      <c r="AF11" s="2523"/>
      <c r="AG11" s="2537" t="s">
        <v>8</v>
      </c>
      <c r="AH11" s="2537"/>
      <c r="AI11" s="2538" t="s">
        <v>9</v>
      </c>
    </row>
    <row r="12" spans="1:35" s="757" customFormat="1" ht="18.95" customHeight="1">
      <c r="A12" s="356"/>
      <c r="B12" s="1892" t="s">
        <v>131</v>
      </c>
      <c r="C12" s="466"/>
      <c r="D12" s="1892" t="s">
        <v>132</v>
      </c>
      <c r="E12" s="466"/>
      <c r="F12" s="1892" t="s">
        <v>133</v>
      </c>
      <c r="G12" s="466"/>
      <c r="H12" s="1892" t="s">
        <v>134</v>
      </c>
      <c r="I12" s="466"/>
      <c r="J12" s="1893" t="s">
        <v>239</v>
      </c>
      <c r="K12" s="466"/>
      <c r="L12" s="1893" t="s">
        <v>150</v>
      </c>
      <c r="M12" s="466"/>
      <c r="N12" s="1893" t="s">
        <v>151</v>
      </c>
      <c r="O12" s="466"/>
      <c r="P12" s="1892" t="s">
        <v>138</v>
      </c>
      <c r="Q12" s="466"/>
      <c r="R12" s="1892" t="s">
        <v>139</v>
      </c>
      <c r="S12" s="466"/>
      <c r="T12" s="1893" t="s">
        <v>140</v>
      </c>
      <c r="U12" s="466"/>
      <c r="V12" s="1892" t="s">
        <v>141</v>
      </c>
      <c r="W12" s="466"/>
      <c r="X12" s="1893" t="s">
        <v>196</v>
      </c>
      <c r="Y12" s="466"/>
      <c r="Z12" s="466"/>
      <c r="AA12" s="1673">
        <v>2014</v>
      </c>
      <c r="AB12" s="1673"/>
      <c r="AC12" s="1894"/>
      <c r="AD12" s="1892">
        <v>2013</v>
      </c>
      <c r="AE12" s="2561"/>
      <c r="AF12" s="2561"/>
      <c r="AG12" s="2539" t="s">
        <v>13</v>
      </c>
      <c r="AH12" s="2540"/>
      <c r="AI12" s="2539" t="s">
        <v>14</v>
      </c>
    </row>
    <row r="13" spans="1:35" s="757" customFormat="1" ht="18.95" customHeight="1">
      <c r="A13" s="466" t="s">
        <v>143</v>
      </c>
      <c r="B13" s="1895">
        <v>-3.9</v>
      </c>
      <c r="C13" s="732"/>
      <c r="D13" s="1895">
        <f>B38</f>
        <v>-4.4000000000000004</v>
      </c>
      <c r="E13" s="732"/>
      <c r="F13" s="1895">
        <f>D38</f>
        <v>-0.2</v>
      </c>
      <c r="G13" s="1896"/>
      <c r="H13" s="1896">
        <f>+F38</f>
        <v>-0.8</v>
      </c>
      <c r="I13" s="1896"/>
      <c r="J13" s="1896">
        <f>H38</f>
        <v>-1.8</v>
      </c>
      <c r="K13" s="1896"/>
      <c r="L13" s="1896">
        <f>J38</f>
        <v>-0.1</v>
      </c>
      <c r="M13" s="1896"/>
      <c r="N13" s="1897">
        <f>L38</f>
        <v>-1.2</v>
      </c>
      <c r="O13" s="1896"/>
      <c r="P13" s="1897"/>
      <c r="Q13" s="1896"/>
      <c r="R13" s="1896"/>
      <c r="S13" s="1896"/>
      <c r="T13" s="1895"/>
      <c r="U13" s="1896"/>
      <c r="V13" s="1896"/>
      <c r="W13" s="1896"/>
      <c r="X13" s="1896"/>
      <c r="Y13" s="1898"/>
      <c r="Z13" s="1899"/>
      <c r="AA13" s="1897">
        <f>+B13</f>
        <v>-3.9</v>
      </c>
      <c r="AB13" s="1898"/>
      <c r="AC13" s="1900"/>
      <c r="AD13" s="1897">
        <v>-3.7</v>
      </c>
      <c r="AE13" s="2568"/>
      <c r="AF13" s="2564"/>
      <c r="AG13" s="2541">
        <f>ROUND(SUM(AA13-AD13),1)</f>
        <v>-0.2</v>
      </c>
      <c r="AH13" s="2534"/>
      <c r="AI13" s="2542">
        <f>-ROUND(IF(AG13=0,0,AG13/(AD13)),3)</f>
        <v>-5.3999999999999999E-2</v>
      </c>
    </row>
    <row r="14" spans="1:35" s="757" customFormat="1" ht="18.95" customHeight="1">
      <c r="A14" s="356"/>
      <c r="B14" s="736"/>
      <c r="C14" s="736"/>
      <c r="D14" s="736"/>
      <c r="E14" s="736"/>
      <c r="F14" s="1901"/>
      <c r="G14" s="1901"/>
      <c r="H14" s="1902"/>
      <c r="I14" s="1902"/>
      <c r="J14" s="1902"/>
      <c r="K14" s="1901"/>
      <c r="L14" s="1902"/>
      <c r="M14" s="1902"/>
      <c r="N14" s="1902"/>
      <c r="O14" s="1902"/>
      <c r="P14" s="1902"/>
      <c r="Q14" s="1902"/>
      <c r="R14" s="1902"/>
      <c r="S14" s="1902"/>
      <c r="T14" s="1902"/>
      <c r="U14" s="1902"/>
      <c r="V14" s="1902"/>
      <c r="W14" s="1902"/>
      <c r="X14" s="1902"/>
      <c r="Y14" s="1903"/>
      <c r="Z14" s="1904"/>
      <c r="AA14" s="736"/>
      <c r="AB14" s="1903"/>
      <c r="AC14" s="1905"/>
      <c r="AD14" s="736"/>
      <c r="AE14" s="2569"/>
      <c r="AF14" s="2565"/>
      <c r="AG14" s="2543"/>
      <c r="AH14" s="2534"/>
      <c r="AI14" s="2533"/>
    </row>
    <row r="15" spans="1:35" s="757" customFormat="1" ht="18.95" customHeight="1">
      <c r="A15" s="466" t="s">
        <v>15</v>
      </c>
      <c r="B15" s="736"/>
      <c r="C15" s="736"/>
      <c r="D15" s="736"/>
      <c r="E15" s="736"/>
      <c r="F15" s="1901"/>
      <c r="G15" s="1901"/>
      <c r="H15" s="1902"/>
      <c r="I15" s="1902"/>
      <c r="J15" s="1902"/>
      <c r="K15" s="1901"/>
      <c r="L15" s="1902"/>
      <c r="M15" s="1902"/>
      <c r="N15" s="1902"/>
      <c r="O15" s="1902"/>
      <c r="P15" s="1902"/>
      <c r="Q15" s="1902"/>
      <c r="R15" s="1902"/>
      <c r="S15" s="1902"/>
      <c r="T15" s="1902"/>
      <c r="U15" s="1902"/>
      <c r="V15" s="1902"/>
      <c r="W15" s="1902"/>
      <c r="X15" s="1902"/>
      <c r="Y15" s="1903"/>
      <c r="Z15" s="1904"/>
      <c r="AA15" s="736"/>
      <c r="AB15" s="1903"/>
      <c r="AC15" s="1905"/>
      <c r="AD15" s="736"/>
      <c r="AE15" s="2569"/>
      <c r="AF15" s="2565"/>
      <c r="AG15" s="2543"/>
      <c r="AH15" s="2534"/>
      <c r="AI15" s="2533"/>
    </row>
    <row r="16" spans="1:35" s="757" customFormat="1" ht="18.95" customHeight="1">
      <c r="A16" s="1906" t="s">
        <v>188</v>
      </c>
      <c r="B16" s="1907">
        <v>4.8</v>
      </c>
      <c r="C16" s="447"/>
      <c r="D16" s="740">
        <v>14.7</v>
      </c>
      <c r="E16" s="447"/>
      <c r="F16" s="740">
        <v>4.5999999999999996</v>
      </c>
      <c r="G16" s="447"/>
      <c r="H16" s="740">
        <v>6.8</v>
      </c>
      <c r="I16" s="1908"/>
      <c r="J16" s="740">
        <v>15</v>
      </c>
      <c r="K16" s="447"/>
      <c r="L16" s="740">
        <v>4.5999999999999996</v>
      </c>
      <c r="M16" s="1909"/>
      <c r="N16" s="740">
        <v>4.5</v>
      </c>
      <c r="O16" s="1909"/>
      <c r="P16" s="740"/>
      <c r="Q16" s="1909"/>
      <c r="R16" s="740"/>
      <c r="S16" s="1909"/>
      <c r="T16" s="740"/>
      <c r="U16" s="1909"/>
      <c r="V16" s="740"/>
      <c r="W16" s="1909"/>
      <c r="X16" s="740"/>
      <c r="Y16" s="1910"/>
      <c r="Z16" s="1911"/>
      <c r="AA16" s="1943">
        <f>ROUND(SUM(B16:X16),1)</f>
        <v>55</v>
      </c>
      <c r="AB16" s="1910"/>
      <c r="AC16" s="1909"/>
      <c r="AD16" s="1907">
        <v>58.1</v>
      </c>
      <c r="AE16" s="2570"/>
      <c r="AF16" s="2526"/>
      <c r="AG16" s="2549">
        <f>ROUND(SUM(AA16-AD16),1)</f>
        <v>-3.1</v>
      </c>
      <c r="AH16" s="2534"/>
      <c r="AI16" s="2555">
        <f>ROUND(IF(AG16=0,0,AG16/(AD16)),3)</f>
        <v>-5.2999999999999999E-2</v>
      </c>
    </row>
    <row r="17" spans="1:35" s="757" customFormat="1" ht="24" customHeight="1">
      <c r="A17" s="466" t="s">
        <v>158</v>
      </c>
      <c r="B17" s="1912">
        <f>ROUND(SUM(B16),1)</f>
        <v>4.8</v>
      </c>
      <c r="C17" s="744"/>
      <c r="D17" s="1912">
        <f>ROUND(SUM(D16),1)</f>
        <v>14.7</v>
      </c>
      <c r="E17" s="744"/>
      <c r="F17" s="1912">
        <f>ROUND(SUM(F16),1)</f>
        <v>4.5999999999999996</v>
      </c>
      <c r="G17" s="744"/>
      <c r="H17" s="1912">
        <f>ROUND(SUM(H16),1)</f>
        <v>6.8</v>
      </c>
      <c r="I17" s="1913"/>
      <c r="J17" s="1912">
        <f>ROUND(SUM(J16),1)</f>
        <v>15</v>
      </c>
      <c r="K17" s="744"/>
      <c r="L17" s="1912">
        <f>ROUND(SUM(L16),1)</f>
        <v>4.5999999999999996</v>
      </c>
      <c r="M17" s="1914"/>
      <c r="N17" s="1912">
        <f>ROUND(SUM(N16),1)</f>
        <v>4.5</v>
      </c>
      <c r="O17" s="1914"/>
      <c r="P17" s="1912">
        <f>ROUND(SUM(P16),1)</f>
        <v>0</v>
      </c>
      <c r="Q17" s="1914"/>
      <c r="R17" s="1912">
        <f>ROUND(SUM(R16),1)</f>
        <v>0</v>
      </c>
      <c r="S17" s="1914"/>
      <c r="T17" s="1912">
        <f>ROUND(SUM(T16),1)</f>
        <v>0</v>
      </c>
      <c r="U17" s="1914"/>
      <c r="V17" s="1912">
        <f>ROUND(SUM(V16),1)</f>
        <v>0</v>
      </c>
      <c r="W17" s="1914"/>
      <c r="X17" s="1912">
        <f>ROUND(SUM(X16),1)</f>
        <v>0</v>
      </c>
      <c r="Y17" s="1915"/>
      <c r="Z17" s="1916"/>
      <c r="AA17" s="1924">
        <f>ROUND(SUM(AA16),1)</f>
        <v>55</v>
      </c>
      <c r="AB17" s="1915"/>
      <c r="AC17" s="1916"/>
      <c r="AD17" s="1924">
        <f>ROUND(SUM(AD16),1)</f>
        <v>58.1</v>
      </c>
      <c r="AE17" s="2571"/>
      <c r="AF17" s="2526"/>
      <c r="AG17" s="2580">
        <f>ROUND(SUM(AG16),1)</f>
        <v>-3.1</v>
      </c>
      <c r="AH17" s="2581"/>
      <c r="AI17" s="2582">
        <f>ROUND(IF(AG17=0,0,AG17/(AD17)),3)</f>
        <v>-5.2999999999999999E-2</v>
      </c>
    </row>
    <row r="18" spans="1:35" s="757" customFormat="1" ht="18.95" customHeight="1">
      <c r="A18" s="356"/>
      <c r="B18" s="743"/>
      <c r="C18" s="447"/>
      <c r="D18" s="743" t="s">
        <v>16</v>
      </c>
      <c r="E18" s="447"/>
      <c r="F18" s="743"/>
      <c r="G18" s="447"/>
      <c r="H18" s="1917"/>
      <c r="I18" s="1909"/>
      <c r="J18" s="1917"/>
      <c r="K18" s="447"/>
      <c r="L18" s="1918"/>
      <c r="M18" s="1909"/>
      <c r="N18" s="1917"/>
      <c r="O18" s="1909"/>
      <c r="P18" s="1917"/>
      <c r="Q18" s="1909"/>
      <c r="R18" s="1917"/>
      <c r="S18" s="1909"/>
      <c r="T18" s="1917"/>
      <c r="U18" s="1909"/>
      <c r="V18" s="1917"/>
      <c r="W18" s="1909"/>
      <c r="X18" s="1917"/>
      <c r="Y18" s="1910"/>
      <c r="Z18" s="1911"/>
      <c r="AA18" s="743"/>
      <c r="AB18" s="1910"/>
      <c r="AC18" s="1908"/>
      <c r="AD18" s="743"/>
      <c r="AE18" s="2549"/>
      <c r="AF18" s="2526"/>
      <c r="AG18" s="2549"/>
      <c r="AH18" s="2534"/>
      <c r="AI18" s="2533"/>
    </row>
    <row r="19" spans="1:35" s="757" customFormat="1" ht="18.95" customHeight="1">
      <c r="A19" s="356"/>
      <c r="B19" s="447"/>
      <c r="C19" s="447"/>
      <c r="D19" s="447" t="s">
        <v>16</v>
      </c>
      <c r="E19" s="447"/>
      <c r="F19" s="447"/>
      <c r="G19" s="447"/>
      <c r="H19" s="1909"/>
      <c r="I19" s="1909"/>
      <c r="J19" s="1909"/>
      <c r="K19" s="447"/>
      <c r="L19" s="1919"/>
      <c r="M19" s="1909"/>
      <c r="N19" s="1909"/>
      <c r="O19" s="1909"/>
      <c r="P19" s="1909"/>
      <c r="Q19" s="1909"/>
      <c r="R19" s="1909"/>
      <c r="S19" s="1909"/>
      <c r="T19" s="1909"/>
      <c r="U19" s="1909"/>
      <c r="V19" s="1909"/>
      <c r="W19" s="1909"/>
      <c r="X19" s="1909"/>
      <c r="Y19" s="1910"/>
      <c r="Z19" s="1911"/>
      <c r="AA19" s="447"/>
      <c r="AB19" s="1910"/>
      <c r="AC19" s="1909"/>
      <c r="AD19" s="447"/>
      <c r="AE19" s="2572"/>
      <c r="AF19" s="2526"/>
      <c r="AG19" s="2549"/>
      <c r="AH19" s="2534"/>
      <c r="AI19" s="2533"/>
    </row>
    <row r="20" spans="1:35" s="757" customFormat="1" ht="18.95" customHeight="1">
      <c r="A20" s="466" t="s">
        <v>24</v>
      </c>
      <c r="B20" s="447"/>
      <c r="C20" s="447"/>
      <c r="D20" s="447" t="s">
        <v>16</v>
      </c>
      <c r="E20" s="447"/>
      <c r="F20" s="447"/>
      <c r="G20" s="447"/>
      <c r="H20" s="1909"/>
      <c r="I20" s="1909"/>
      <c r="J20" s="1909"/>
      <c r="K20" s="447"/>
      <c r="L20" s="1919"/>
      <c r="M20" s="1909"/>
      <c r="N20" s="1909"/>
      <c r="O20" s="1909"/>
      <c r="P20" s="1909"/>
      <c r="Q20" s="1909"/>
      <c r="R20" s="1909"/>
      <c r="S20" s="1909"/>
      <c r="T20" s="1909"/>
      <c r="U20" s="1909"/>
      <c r="V20" s="1909"/>
      <c r="W20" s="1909"/>
      <c r="X20" s="1909"/>
      <c r="Y20" s="1910"/>
      <c r="Z20" s="1911"/>
      <c r="AA20" s="447"/>
      <c r="AB20" s="1910"/>
      <c r="AC20" s="1909"/>
      <c r="AD20" s="447"/>
      <c r="AE20" s="2572"/>
      <c r="AF20" s="2526"/>
      <c r="AG20" s="2549"/>
      <c r="AH20" s="2534"/>
      <c r="AI20" s="2533"/>
    </row>
    <row r="21" spans="1:35" s="757" customFormat="1" ht="18.95" customHeight="1">
      <c r="A21" s="356" t="s">
        <v>160</v>
      </c>
      <c r="B21" s="449"/>
      <c r="C21" s="447"/>
      <c r="D21" s="447"/>
      <c r="E21" s="447"/>
      <c r="F21" s="447"/>
      <c r="G21" s="447"/>
      <c r="H21" s="1909"/>
      <c r="I21" s="1909"/>
      <c r="J21" s="1909"/>
      <c r="K21" s="447"/>
      <c r="L21" s="1919"/>
      <c r="M21" s="1909"/>
      <c r="N21" s="1909"/>
      <c r="O21" s="1909"/>
      <c r="P21" s="1909"/>
      <c r="Q21" s="1909"/>
      <c r="R21" s="1909"/>
      <c r="S21" s="1909"/>
      <c r="T21" s="1909"/>
      <c r="U21" s="1909"/>
      <c r="V21" s="1909"/>
      <c r="W21" s="1909"/>
      <c r="X21" s="1909"/>
      <c r="Y21" s="1910"/>
      <c r="Z21" s="1911"/>
      <c r="AA21" s="449"/>
      <c r="AB21" s="1920"/>
      <c r="AC21" s="1921"/>
      <c r="AD21" s="449"/>
      <c r="AE21" s="2573"/>
      <c r="AF21" s="2527"/>
      <c r="AG21" s="2549"/>
      <c r="AH21" s="2534"/>
      <c r="AI21" s="2533"/>
    </row>
    <row r="22" spans="1:35" s="757" customFormat="1" ht="18.95" customHeight="1">
      <c r="A22" s="356" t="s">
        <v>232</v>
      </c>
      <c r="B22" s="1922">
        <v>4.8</v>
      </c>
      <c r="C22" s="447"/>
      <c r="D22" s="1922">
        <v>4.5</v>
      </c>
      <c r="E22" s="447"/>
      <c r="F22" s="740">
        <v>4.5999999999999996</v>
      </c>
      <c r="G22" s="447"/>
      <c r="H22" s="740">
        <v>6.8</v>
      </c>
      <c r="I22" s="1909"/>
      <c r="J22" s="740">
        <v>4.5</v>
      </c>
      <c r="K22" s="447"/>
      <c r="L22" s="740">
        <v>4.5</v>
      </c>
      <c r="M22" s="1909"/>
      <c r="N22" s="740">
        <v>4.5</v>
      </c>
      <c r="O22" s="1909"/>
      <c r="P22" s="740"/>
      <c r="Q22" s="1909"/>
      <c r="R22" s="740"/>
      <c r="S22" s="1909"/>
      <c r="T22" s="740"/>
      <c r="U22" s="1909"/>
      <c r="V22" s="740"/>
      <c r="W22" s="1909"/>
      <c r="X22" s="740"/>
      <c r="Y22" s="1910"/>
      <c r="Z22" s="1911"/>
      <c r="AA22" s="1944">
        <f>ROUND(SUM(B22:X22),1)</f>
        <v>34.200000000000003</v>
      </c>
      <c r="AB22" s="1910"/>
      <c r="AC22" s="1909"/>
      <c r="AD22" s="709">
        <v>32.799999999999997</v>
      </c>
      <c r="AE22" s="2574"/>
      <c r="AF22" s="2527"/>
      <c r="AG22" s="2549">
        <f>ROUND(SUM(AA22-AD22),1)</f>
        <v>1.4</v>
      </c>
      <c r="AH22" s="2534"/>
      <c r="AI22" s="2555">
        <f>ROUND(IF(AG22=0,0,AG22/(AD22)),3)</f>
        <v>4.2999999999999997E-2</v>
      </c>
    </row>
    <row r="23" spans="1:35" s="757" customFormat="1" ht="18.95" customHeight="1">
      <c r="A23" s="1906" t="s">
        <v>179</v>
      </c>
      <c r="B23" s="1922">
        <v>0.5</v>
      </c>
      <c r="C23" s="447"/>
      <c r="D23" s="1922">
        <v>1</v>
      </c>
      <c r="E23" s="447"/>
      <c r="F23" s="740">
        <v>0.6</v>
      </c>
      <c r="G23" s="447"/>
      <c r="H23" s="740">
        <v>1</v>
      </c>
      <c r="I23" s="1909"/>
      <c r="J23" s="740">
        <v>1</v>
      </c>
      <c r="K23" s="447"/>
      <c r="L23" s="740">
        <v>1.2</v>
      </c>
      <c r="M23" s="1909"/>
      <c r="N23" s="740">
        <v>0.5</v>
      </c>
      <c r="O23" s="1909"/>
      <c r="P23" s="740"/>
      <c r="Q23" s="1909"/>
      <c r="R23" s="740"/>
      <c r="S23" s="1909"/>
      <c r="T23" s="740"/>
      <c r="U23" s="1909"/>
      <c r="V23" s="740"/>
      <c r="W23" s="1909"/>
      <c r="X23" s="740"/>
      <c r="Y23" s="1910"/>
      <c r="Z23" s="1911"/>
      <c r="AA23" s="1944">
        <f>ROUND(SUM(B23:X23),1)</f>
        <v>5.8</v>
      </c>
      <c r="AB23" s="1910"/>
      <c r="AC23" s="1909"/>
      <c r="AD23" s="449">
        <v>6.9</v>
      </c>
      <c r="AE23" s="2573"/>
      <c r="AF23" s="2527"/>
      <c r="AG23" s="2549">
        <f>ROUND(SUM(AA23-AD23),1)</f>
        <v>-1.1000000000000001</v>
      </c>
      <c r="AH23" s="2554"/>
      <c r="AI23" s="2555">
        <f>ROUND(IF(AG23=0,0,AG23/(AD23)),3)</f>
        <v>-0.159</v>
      </c>
    </row>
    <row r="24" spans="1:35" s="757" customFormat="1" ht="18.95" customHeight="1">
      <c r="A24" s="356" t="s">
        <v>163</v>
      </c>
      <c r="B24" s="1923">
        <v>0</v>
      </c>
      <c r="C24" s="447"/>
      <c r="D24" s="1907">
        <v>5</v>
      </c>
      <c r="E24" s="447"/>
      <c r="F24" s="1907">
        <v>0</v>
      </c>
      <c r="G24" s="447"/>
      <c r="H24" s="1923">
        <v>0</v>
      </c>
      <c r="I24" s="1909"/>
      <c r="J24" s="713">
        <v>7.8</v>
      </c>
      <c r="K24" s="447"/>
      <c r="L24" s="1923">
        <v>0</v>
      </c>
      <c r="M24" s="1909"/>
      <c r="N24" s="1923">
        <v>0</v>
      </c>
      <c r="O24" s="1909"/>
      <c r="P24" s="1907"/>
      <c r="Q24" s="1909"/>
      <c r="R24" s="1923"/>
      <c r="S24" s="1909"/>
      <c r="T24" s="713"/>
      <c r="U24" s="1909"/>
      <c r="V24" s="1923"/>
      <c r="W24" s="1909"/>
      <c r="X24" s="1907"/>
      <c r="Y24" s="1910"/>
      <c r="Z24" s="1911"/>
      <c r="AA24" s="1943">
        <f>ROUND(SUM(B24:X24),1)</f>
        <v>12.8</v>
      </c>
      <c r="AB24" s="1910"/>
      <c r="AC24" s="1909"/>
      <c r="AD24" s="1943">
        <v>15.1</v>
      </c>
      <c r="AE24" s="2575"/>
      <c r="AF24" s="2527"/>
      <c r="AG24" s="2549">
        <f>ROUND(SUM(AA24-AD24),1)</f>
        <v>-2.2999999999999998</v>
      </c>
      <c r="AH24" s="2534"/>
      <c r="AI24" s="2555">
        <f>ROUND(IF(AG24=0,0,AG24/(AD24)),3)</f>
        <v>-0.152</v>
      </c>
    </row>
    <row r="25" spans="1:35" s="757" customFormat="1" ht="22.5" customHeight="1">
      <c r="A25" s="466" t="s">
        <v>164</v>
      </c>
      <c r="B25" s="1924">
        <f>ROUND(SUM(B22)+SUM(B23)+SUM(B24),1)</f>
        <v>5.3</v>
      </c>
      <c r="C25" s="744"/>
      <c r="D25" s="1924">
        <f>ROUND(SUM(D22)+SUM(D23)+SUM(D24),1)</f>
        <v>10.5</v>
      </c>
      <c r="E25" s="744"/>
      <c r="F25" s="1924">
        <f>ROUND(SUM(F22)+SUM(F23)+SUM(F24),1)</f>
        <v>5.2</v>
      </c>
      <c r="G25" s="1924"/>
      <c r="H25" s="1924">
        <f>ROUND(SUM(H22)+SUM(H23)+SUM(H24),1)</f>
        <v>7.8</v>
      </c>
      <c r="I25" s="1914"/>
      <c r="J25" s="1924">
        <f>ROUND(SUM(J22)+SUM(J23)+SUM(J24),1)</f>
        <v>13.3</v>
      </c>
      <c r="K25" s="744"/>
      <c r="L25" s="1924">
        <f>ROUND(SUM(L22)+SUM(L23)+SUM(L24),1)</f>
        <v>5.7</v>
      </c>
      <c r="M25" s="1914"/>
      <c r="N25" s="1924">
        <f>ROUND(SUM(N22)+SUM(N23)+SUM(N24),1)</f>
        <v>5</v>
      </c>
      <c r="O25" s="1914"/>
      <c r="P25" s="1924">
        <f>ROUND(SUM(P22)+SUM(P23)+SUM(P24),1)</f>
        <v>0</v>
      </c>
      <c r="Q25" s="1914"/>
      <c r="R25" s="1924">
        <f>ROUND(SUM(R22)+SUM(R23)+SUM(R24),1)</f>
        <v>0</v>
      </c>
      <c r="S25" s="1914"/>
      <c r="T25" s="1924">
        <f>ROUND(SUM(T22)+SUM(T23)+SUM(T24),1)</f>
        <v>0</v>
      </c>
      <c r="U25" s="1914"/>
      <c r="V25" s="1924">
        <f>ROUND(SUM(V22)+SUM(V23)+SUM(V24),1)</f>
        <v>0</v>
      </c>
      <c r="W25" s="1914"/>
      <c r="X25" s="1924">
        <f>ROUND(SUM(X22)+SUM(X23)+SUM(X24),1)</f>
        <v>0</v>
      </c>
      <c r="Y25" s="1915"/>
      <c r="Z25" s="1916"/>
      <c r="AA25" s="1945">
        <f>ROUND(SUM(AA22:AA24),1)</f>
        <v>52.8</v>
      </c>
      <c r="AB25" s="1915"/>
      <c r="AC25" s="1916"/>
      <c r="AD25" s="1945">
        <f>ROUND(SUM(AD22:AD24),1)</f>
        <v>54.8</v>
      </c>
      <c r="AE25" s="2576"/>
      <c r="AF25" s="2527"/>
      <c r="AG25" s="2580">
        <f>ROUND(SUM(AG22:AG24),1)</f>
        <v>-2</v>
      </c>
      <c r="AH25" s="2551"/>
      <c r="AI25" s="2582">
        <f>ROUND(IF(AG25=0,0,AG25/(AD25)),3)</f>
        <v>-3.5999999999999997E-2</v>
      </c>
    </row>
    <row r="26" spans="1:35" s="757" customFormat="1" ht="18.95" customHeight="1">
      <c r="A26" s="356"/>
      <c r="B26" s="743"/>
      <c r="C26" s="447"/>
      <c r="D26" s="743" t="s">
        <v>16</v>
      </c>
      <c r="E26" s="447"/>
      <c r="F26" s="743"/>
      <c r="G26" s="447"/>
      <c r="H26" s="1917"/>
      <c r="I26" s="1909"/>
      <c r="J26" s="1917"/>
      <c r="K26" s="447"/>
      <c r="L26" s="1917"/>
      <c r="M26" s="1909"/>
      <c r="N26" s="1917"/>
      <c r="O26" s="1909"/>
      <c r="P26" s="1917"/>
      <c r="Q26" s="1909"/>
      <c r="R26" s="1917"/>
      <c r="S26" s="1909"/>
      <c r="T26" s="1917"/>
      <c r="U26" s="1909"/>
      <c r="V26" s="1917"/>
      <c r="W26" s="1909"/>
      <c r="X26" s="1917"/>
      <c r="Y26" s="1910"/>
      <c r="Z26" s="1911"/>
      <c r="AA26" s="743"/>
      <c r="AB26" s="1910"/>
      <c r="AC26" s="1908"/>
      <c r="AD26" s="743"/>
      <c r="AE26" s="2549"/>
      <c r="AF26" s="2526"/>
      <c r="AG26" s="2549"/>
      <c r="AH26" s="2534"/>
      <c r="AI26" s="2533"/>
    </row>
    <row r="27" spans="1:35" s="757" customFormat="1" ht="18.95" customHeight="1">
      <c r="A27" s="466" t="s">
        <v>165</v>
      </c>
      <c r="B27" s="447"/>
      <c r="C27" s="447"/>
      <c r="D27" s="454" t="s">
        <v>16</v>
      </c>
      <c r="E27" s="447"/>
      <c r="F27" s="447"/>
      <c r="G27" s="447"/>
      <c r="H27" s="1909"/>
      <c r="I27" s="1909"/>
      <c r="J27" s="1909"/>
      <c r="K27" s="447"/>
      <c r="L27" s="1909"/>
      <c r="M27" s="1909"/>
      <c r="N27" s="1909"/>
      <c r="O27" s="1909"/>
      <c r="P27" s="1909"/>
      <c r="Q27" s="1909"/>
      <c r="R27" s="1909"/>
      <c r="S27" s="1909"/>
      <c r="T27" s="1909"/>
      <c r="U27" s="1909"/>
      <c r="V27" s="1909"/>
      <c r="W27" s="1909"/>
      <c r="X27" s="1909"/>
      <c r="Y27" s="1910"/>
      <c r="Z27" s="1911"/>
      <c r="AA27" s="447"/>
      <c r="AB27" s="1910"/>
      <c r="AC27" s="1909"/>
      <c r="AD27" s="447"/>
      <c r="AE27" s="2572"/>
      <c r="AF27" s="2526"/>
      <c r="AG27" s="2549"/>
      <c r="AH27" s="2534"/>
      <c r="AI27" s="2533"/>
    </row>
    <row r="28" spans="1:35" s="757" customFormat="1" ht="18.75" customHeight="1">
      <c r="A28" s="466" t="s">
        <v>46</v>
      </c>
      <c r="B28" s="1925">
        <f>ROUND(B17-B25,1)</f>
        <v>-0.5</v>
      </c>
      <c r="C28" s="744"/>
      <c r="D28" s="1925">
        <f>ROUND(D17-D25,1)</f>
        <v>4.2</v>
      </c>
      <c r="E28" s="744"/>
      <c r="F28" s="1925">
        <f>ROUND(F17-F25,1)</f>
        <v>-0.6</v>
      </c>
      <c r="G28" s="744"/>
      <c r="H28" s="1925">
        <f>ROUND(H17-H25,1)</f>
        <v>-1</v>
      </c>
      <c r="I28" s="747"/>
      <c r="J28" s="1925">
        <f>ROUND(J17-J25,1)</f>
        <v>1.7</v>
      </c>
      <c r="K28" s="744"/>
      <c r="L28" s="1925">
        <f>ROUND(L17-L25,1)</f>
        <v>-1.1000000000000001</v>
      </c>
      <c r="M28" s="1914"/>
      <c r="N28" s="1925">
        <f>ROUND(N17-N25,1)</f>
        <v>-0.5</v>
      </c>
      <c r="O28" s="1914"/>
      <c r="P28" s="1925">
        <f>ROUND(P17-P25,1)</f>
        <v>0</v>
      </c>
      <c r="Q28" s="1914"/>
      <c r="R28" s="1925">
        <f>ROUND(R17-R25,1)</f>
        <v>0</v>
      </c>
      <c r="S28" s="1914"/>
      <c r="T28" s="1925">
        <f>ROUND(T17-T25,1)</f>
        <v>0</v>
      </c>
      <c r="U28" s="1914"/>
      <c r="V28" s="1925">
        <f>ROUND(V17-V25,1)</f>
        <v>0</v>
      </c>
      <c r="W28" s="1914"/>
      <c r="X28" s="1925">
        <f>ROUND(X17-X25,1)</f>
        <v>0</v>
      </c>
      <c r="Y28" s="1915"/>
      <c r="Z28" s="1916"/>
      <c r="AA28" s="1926">
        <f>ROUND(AA17-AA25,1)</f>
        <v>2.2000000000000002</v>
      </c>
      <c r="AB28" s="1915"/>
      <c r="AC28" s="1927"/>
      <c r="AD28" s="1926">
        <f>ROUND(AD17-AD25,1)</f>
        <v>3.3</v>
      </c>
      <c r="AE28" s="2577"/>
      <c r="AF28" s="2527"/>
      <c r="AG28" s="2550">
        <f>ROUND(SUM(AG17-AG25),1)</f>
        <v>-1.1000000000000001</v>
      </c>
      <c r="AH28" s="2551"/>
      <c r="AI28" s="2552">
        <f>ROUND(IF(AG28=0,0,AG28/(AD28)),3)</f>
        <v>-0.33300000000000002</v>
      </c>
    </row>
    <row r="29" spans="1:35" s="757" customFormat="1" ht="18.95" customHeight="1">
      <c r="A29" s="356"/>
      <c r="B29" s="454"/>
      <c r="C29" s="447"/>
      <c r="D29" s="454" t="s">
        <v>16</v>
      </c>
      <c r="E29" s="447"/>
      <c r="F29" s="454"/>
      <c r="G29" s="447"/>
      <c r="H29" s="1908"/>
      <c r="I29" s="1909"/>
      <c r="J29" s="1908"/>
      <c r="K29" s="447"/>
      <c r="L29" s="1908"/>
      <c r="M29" s="1909"/>
      <c r="N29" s="1917"/>
      <c r="O29" s="1909"/>
      <c r="P29" s="1908"/>
      <c r="Q29" s="1909"/>
      <c r="R29" s="1917"/>
      <c r="S29" s="1909"/>
      <c r="T29" s="1908"/>
      <c r="U29" s="1909"/>
      <c r="V29" s="1908"/>
      <c r="W29" s="1909"/>
      <c r="X29" s="1917"/>
      <c r="Y29" s="1910"/>
      <c r="Z29" s="1911"/>
      <c r="AA29" s="454"/>
      <c r="AB29" s="1910"/>
      <c r="AC29" s="1908"/>
      <c r="AD29" s="454"/>
      <c r="AE29" s="2549"/>
      <c r="AF29" s="2528"/>
      <c r="AG29" s="2549"/>
      <c r="AH29" s="2534"/>
      <c r="AI29" s="2533"/>
    </row>
    <row r="30" spans="1:35" s="757" customFormat="1" ht="18.95" customHeight="1">
      <c r="A30" s="466" t="s">
        <v>47</v>
      </c>
      <c r="B30" s="447"/>
      <c r="C30" s="447"/>
      <c r="D30" s="447"/>
      <c r="E30" s="447"/>
      <c r="F30" s="447"/>
      <c r="G30" s="447"/>
      <c r="H30" s="1909"/>
      <c r="I30" s="1909"/>
      <c r="J30" s="1909"/>
      <c r="K30" s="447"/>
      <c r="L30" s="1909"/>
      <c r="M30" s="1909"/>
      <c r="N30" s="1909"/>
      <c r="O30" s="1909"/>
      <c r="P30" s="1909"/>
      <c r="Q30" s="1909"/>
      <c r="R30" s="1909"/>
      <c r="S30" s="1909"/>
      <c r="T30" s="1909"/>
      <c r="U30" s="1909"/>
      <c r="V30" s="1909"/>
      <c r="W30" s="1909"/>
      <c r="X30" s="1909"/>
      <c r="Y30" s="1910"/>
      <c r="Z30" s="1911"/>
      <c r="AA30" s="447"/>
      <c r="AB30" s="1910"/>
      <c r="AC30" s="1909"/>
      <c r="AD30" s="447"/>
      <c r="AE30" s="2572"/>
      <c r="AF30" s="2528"/>
      <c r="AG30" s="2549"/>
      <c r="AH30" s="2534"/>
      <c r="AI30" s="2533"/>
    </row>
    <row r="31" spans="1:35" s="757" customFormat="1" ht="18.95" customHeight="1">
      <c r="A31" s="356" t="s">
        <v>191</v>
      </c>
      <c r="B31" s="449">
        <v>0</v>
      </c>
      <c r="C31" s="447"/>
      <c r="D31" s="449">
        <v>0</v>
      </c>
      <c r="E31" s="447"/>
      <c r="F31" s="449">
        <v>0</v>
      </c>
      <c r="G31" s="447"/>
      <c r="H31" s="449">
        <v>0</v>
      </c>
      <c r="I31" s="1909"/>
      <c r="J31" s="449">
        <v>0</v>
      </c>
      <c r="K31" s="447"/>
      <c r="L31" s="449">
        <v>0</v>
      </c>
      <c r="M31" s="1909"/>
      <c r="N31" s="449">
        <v>0</v>
      </c>
      <c r="O31" s="1909"/>
      <c r="P31" s="449"/>
      <c r="Q31" s="1909"/>
      <c r="R31" s="449"/>
      <c r="S31" s="1909"/>
      <c r="T31" s="449"/>
      <c r="U31" s="1909"/>
      <c r="V31" s="449"/>
      <c r="W31" s="1909"/>
      <c r="X31" s="449"/>
      <c r="Y31" s="1910"/>
      <c r="Z31" s="1911"/>
      <c r="AA31" s="1944">
        <f>ROUND(SUM(B31:X31),1)</f>
        <v>0</v>
      </c>
      <c r="AB31" s="1910"/>
      <c r="AC31" s="1909"/>
      <c r="AD31" s="449">
        <v>0</v>
      </c>
      <c r="AE31" s="2573"/>
      <c r="AF31" s="2529"/>
      <c r="AG31" s="2583">
        <f>ROUND(SUM(AA31-AD31),1)</f>
        <v>0</v>
      </c>
      <c r="AH31" s="2554"/>
      <c r="AI31" s="2555">
        <f>ROUND(IF(AG31=0,0,AG31/(AD31)),3)</f>
        <v>0</v>
      </c>
    </row>
    <row r="32" spans="1:35" s="757" customFormat="1" ht="18.95" customHeight="1">
      <c r="A32" s="356" t="s">
        <v>192</v>
      </c>
      <c r="B32" s="449">
        <v>0</v>
      </c>
      <c r="C32" s="447"/>
      <c r="D32" s="449">
        <v>0</v>
      </c>
      <c r="E32" s="447"/>
      <c r="F32" s="449">
        <v>0</v>
      </c>
      <c r="G32" s="447"/>
      <c r="H32" s="449">
        <v>0</v>
      </c>
      <c r="I32" s="1909"/>
      <c r="J32" s="449">
        <v>0</v>
      </c>
      <c r="K32" s="447"/>
      <c r="L32" s="449">
        <v>0</v>
      </c>
      <c r="M32" s="1908"/>
      <c r="N32" s="449">
        <v>0</v>
      </c>
      <c r="O32" s="1908"/>
      <c r="P32" s="449"/>
      <c r="Q32" s="1908"/>
      <c r="R32" s="449"/>
      <c r="S32" s="1908"/>
      <c r="T32" s="449"/>
      <c r="U32" s="1908"/>
      <c r="V32" s="449"/>
      <c r="W32" s="1908"/>
      <c r="X32" s="449"/>
      <c r="Y32" s="1910"/>
      <c r="Z32" s="1911"/>
      <c r="AA32" s="1944">
        <f>ROUND(SUM(B32:X32),1)</f>
        <v>0</v>
      </c>
      <c r="AB32" s="1928"/>
      <c r="AC32" s="1929"/>
      <c r="AD32" s="449">
        <v>0</v>
      </c>
      <c r="AE32" s="2573"/>
      <c r="AF32" s="2528"/>
      <c r="AG32" s="2583">
        <f>ROUND(SUM(AA32-AD32),1)</f>
        <v>0</v>
      </c>
      <c r="AH32" s="2554"/>
      <c r="AI32" s="2555">
        <f>ROUND(IF(AG32=0,0,AG32/(AD32)),3)</f>
        <v>0</v>
      </c>
    </row>
    <row r="33" spans="1:35" s="757" customFormat="1" ht="22.5" customHeight="1">
      <c r="A33" s="466" t="s">
        <v>220</v>
      </c>
      <c r="B33" s="1930">
        <f>ROUND(SUM(B31:B32),1)</f>
        <v>0</v>
      </c>
      <c r="C33" s="744"/>
      <c r="D33" s="1930">
        <f>ROUND(SUM(D31:D32),1)</f>
        <v>0</v>
      </c>
      <c r="E33" s="750"/>
      <c r="F33" s="1930">
        <f>ROUND(SUM(F31:F32),1)</f>
        <v>0</v>
      </c>
      <c r="G33" s="750"/>
      <c r="H33" s="1930">
        <f>ROUND(SUM(H31:H32),1)</f>
        <v>0</v>
      </c>
      <c r="I33" s="1931"/>
      <c r="J33" s="1930">
        <f>ROUND(SUM(J31:J32),1)</f>
        <v>0</v>
      </c>
      <c r="K33" s="750"/>
      <c r="L33" s="1930">
        <f>ROUND(SUM(L31:L32),1)</f>
        <v>0</v>
      </c>
      <c r="M33" s="1931"/>
      <c r="N33" s="1930">
        <f>ROUND(SUM(N31:N32),1)</f>
        <v>0</v>
      </c>
      <c r="O33" s="1931"/>
      <c r="P33" s="1930">
        <f>ROUND(SUM(P31:P32),1)</f>
        <v>0</v>
      </c>
      <c r="Q33" s="1931"/>
      <c r="R33" s="1930">
        <f>ROUND(SUM(R31:R32),1)</f>
        <v>0</v>
      </c>
      <c r="S33" s="1931"/>
      <c r="T33" s="1930">
        <f>ROUND(SUM(T31:T32),1)</f>
        <v>0</v>
      </c>
      <c r="U33" s="1931"/>
      <c r="V33" s="1930">
        <f>ROUND(SUM(V31:V32),1)</f>
        <v>0</v>
      </c>
      <c r="W33" s="1931"/>
      <c r="X33" s="1930">
        <f>ROUND(SUM(X31:X32),1)</f>
        <v>0</v>
      </c>
      <c r="Y33" s="1915"/>
      <c r="Z33" s="1916"/>
      <c r="AA33" s="1949">
        <f>ROUND(SUM(AA31:AA32),1)</f>
        <v>0</v>
      </c>
      <c r="AB33" s="1932"/>
      <c r="AC33" s="1933"/>
      <c r="AD33" s="1949">
        <f>ROUND(SUM(AD31:AD32),1)</f>
        <v>0</v>
      </c>
      <c r="AE33" s="2578"/>
      <c r="AF33" s="2529"/>
      <c r="AG33" s="2580">
        <f>ROUND(SUM(AG31-AG32),1)</f>
        <v>0</v>
      </c>
      <c r="AH33" s="2561"/>
      <c r="AI33" s="2582">
        <f>ROUND(IF(AG33=0,0,AG33/(AD33)),3)</f>
        <v>0</v>
      </c>
    </row>
    <row r="34" spans="1:35" s="757" customFormat="1" ht="18.95" customHeight="1">
      <c r="A34" s="356"/>
      <c r="B34" s="743"/>
      <c r="C34" s="447"/>
      <c r="D34" s="743" t="s">
        <v>16</v>
      </c>
      <c r="E34" s="447"/>
      <c r="F34" s="743"/>
      <c r="G34" s="447"/>
      <c r="H34" s="1917"/>
      <c r="I34" s="1909"/>
      <c r="J34" s="1917"/>
      <c r="K34" s="447"/>
      <c r="L34" s="1917"/>
      <c r="M34" s="1909"/>
      <c r="N34" s="1917"/>
      <c r="O34" s="1909"/>
      <c r="P34" s="1917"/>
      <c r="Q34" s="1909"/>
      <c r="R34" s="1917"/>
      <c r="S34" s="1909"/>
      <c r="T34" s="1917"/>
      <c r="U34" s="1909"/>
      <c r="V34" s="1917"/>
      <c r="W34" s="1909"/>
      <c r="X34" s="1917"/>
      <c r="Y34" s="1910"/>
      <c r="Z34" s="1911"/>
      <c r="AA34" s="743"/>
      <c r="AB34" s="1910"/>
      <c r="AC34" s="1908"/>
      <c r="AD34" s="743"/>
      <c r="AE34" s="2549"/>
      <c r="AF34" s="2526"/>
      <c r="AG34" s="2549"/>
      <c r="AH34" s="2534"/>
      <c r="AI34" s="2533"/>
    </row>
    <row r="35" spans="1:35" s="757" customFormat="1" ht="18.95" customHeight="1">
      <c r="A35" s="466" t="s">
        <v>174</v>
      </c>
      <c r="B35" s="447"/>
      <c r="C35" s="447"/>
      <c r="D35" s="447" t="s">
        <v>16</v>
      </c>
      <c r="E35" s="447"/>
      <c r="F35" s="447"/>
      <c r="G35" s="447"/>
      <c r="H35" s="1909"/>
      <c r="I35" s="1909"/>
      <c r="J35" s="1909"/>
      <c r="K35" s="447"/>
      <c r="L35" s="1909"/>
      <c r="M35" s="1909"/>
      <c r="N35" s="1909"/>
      <c r="O35" s="1909"/>
      <c r="P35" s="1909"/>
      <c r="Q35" s="1909"/>
      <c r="R35" s="1909"/>
      <c r="S35" s="1909"/>
      <c r="T35" s="1909"/>
      <c r="U35" s="1909"/>
      <c r="V35" s="1909"/>
      <c r="W35" s="1909"/>
      <c r="X35" s="1909"/>
      <c r="Y35" s="1910"/>
      <c r="Z35" s="1911"/>
      <c r="AA35" s="447"/>
      <c r="AB35" s="1910"/>
      <c r="AC35" s="1909"/>
      <c r="AD35" s="447"/>
      <c r="AE35" s="2572"/>
      <c r="AF35" s="2526"/>
      <c r="AG35" s="2549"/>
      <c r="AH35" s="2534"/>
      <c r="AI35" s="2533"/>
    </row>
    <row r="36" spans="1:35" s="757" customFormat="1" ht="18.95" customHeight="1">
      <c r="A36" s="466" t="s">
        <v>240</v>
      </c>
      <c r="B36" s="447"/>
      <c r="C36" s="447"/>
      <c r="D36" s="447"/>
      <c r="E36" s="447"/>
      <c r="F36" s="447"/>
      <c r="G36" s="447"/>
      <c r="H36" s="1909"/>
      <c r="I36" s="1909"/>
      <c r="J36" s="1909"/>
      <c r="K36" s="447"/>
      <c r="L36" s="1909"/>
      <c r="M36" s="1909"/>
      <c r="N36" s="1909"/>
      <c r="O36" s="1909"/>
      <c r="P36" s="1909"/>
      <c r="Q36" s="1909"/>
      <c r="R36" s="1909"/>
      <c r="S36" s="1909"/>
      <c r="T36" s="1942"/>
      <c r="U36" s="1909"/>
      <c r="V36" s="1909"/>
      <c r="W36" s="1909"/>
      <c r="X36" s="1909"/>
      <c r="Y36" s="1910"/>
      <c r="Z36" s="1911"/>
      <c r="AA36" s="447"/>
      <c r="AB36" s="1910"/>
      <c r="AC36" s="1909"/>
      <c r="AD36" s="750"/>
      <c r="AE36" s="2579"/>
      <c r="AF36" s="2530"/>
      <c r="AG36" s="2549"/>
      <c r="AH36" s="2534"/>
      <c r="AI36" s="2533"/>
    </row>
    <row r="37" spans="1:35" s="759" customFormat="1" ht="18.95" customHeight="1">
      <c r="A37" s="466" t="s">
        <v>1281</v>
      </c>
      <c r="B37" s="1924">
        <f>ROUND(+B28+B33,1)</f>
        <v>-0.5</v>
      </c>
      <c r="C37" s="744"/>
      <c r="D37" s="1924">
        <f>ROUND(+D28+D33,1)</f>
        <v>4.2</v>
      </c>
      <c r="E37" s="750"/>
      <c r="F37" s="1924">
        <f>ROUND(+F28+F33,1)</f>
        <v>-0.6</v>
      </c>
      <c r="G37" s="750"/>
      <c r="H37" s="1924">
        <f>ROUND(+H28+H33,1)</f>
        <v>-1</v>
      </c>
      <c r="I37" s="1931"/>
      <c r="J37" s="1924">
        <f>ROUND(+J28+J33,1)</f>
        <v>1.7</v>
      </c>
      <c r="K37" s="750"/>
      <c r="L37" s="1924">
        <f>ROUND(+L28+L33,1)</f>
        <v>-1.1000000000000001</v>
      </c>
      <c r="M37" s="1934"/>
      <c r="N37" s="1924">
        <f>ROUND(+N28+N33,1)</f>
        <v>-0.5</v>
      </c>
      <c r="O37" s="1934"/>
      <c r="P37" s="1924">
        <f>ROUND(+P28+P33,1)</f>
        <v>0</v>
      </c>
      <c r="Q37" s="1934"/>
      <c r="R37" s="1924">
        <f>ROUND(+R28+R33,1)</f>
        <v>0</v>
      </c>
      <c r="S37" s="1931"/>
      <c r="T37" s="1924">
        <f>ROUND(+T28+T33,1)</f>
        <v>0</v>
      </c>
      <c r="U37" s="1931"/>
      <c r="V37" s="1924">
        <f>ROUND(+V28+V33,1)</f>
        <v>0</v>
      </c>
      <c r="W37" s="1931"/>
      <c r="X37" s="1924">
        <f>ROUND(+X28+X33,1)</f>
        <v>0</v>
      </c>
      <c r="Y37" s="1915"/>
      <c r="Z37" s="1916"/>
      <c r="AA37" s="1934">
        <f>ROUND(AA28+AA33,1)</f>
        <v>2.2000000000000002</v>
      </c>
      <c r="AB37" s="747"/>
      <c r="AC37" s="1935"/>
      <c r="AD37" s="1934">
        <f>ROUND(AD28+AD33,1)</f>
        <v>3.3</v>
      </c>
      <c r="AE37" s="2577"/>
      <c r="AF37" s="2531"/>
      <c r="AG37" s="2583">
        <f>ROUND(SUM(AG28+AG33),1)</f>
        <v>-1.1000000000000001</v>
      </c>
      <c r="AH37" s="2523"/>
      <c r="AI37" s="2542">
        <f>ROUND(IF(AG37=0,0,AG37/(AD37)),3)</f>
        <v>-0.33300000000000002</v>
      </c>
    </row>
    <row r="38" spans="1:35" s="757" customFormat="1" ht="22.5" customHeight="1" thickBot="1">
      <c r="A38" s="466" t="s">
        <v>148</v>
      </c>
      <c r="B38" s="1936">
        <f>ROUND(B13+B37,1)</f>
        <v>-4.4000000000000004</v>
      </c>
      <c r="C38" s="732"/>
      <c r="D38" s="1936">
        <f>ROUND(D13+D37,1)</f>
        <v>-0.2</v>
      </c>
      <c r="E38" s="732"/>
      <c r="F38" s="1936">
        <f>ROUND(F13+F37,1)</f>
        <v>-0.8</v>
      </c>
      <c r="G38" s="732"/>
      <c r="H38" s="1936">
        <f>ROUND(H13+H37,1)</f>
        <v>-1.8</v>
      </c>
      <c r="I38" s="1937"/>
      <c r="J38" s="1936">
        <f>ROUND(J13+J37,1)</f>
        <v>-0.1</v>
      </c>
      <c r="K38" s="732"/>
      <c r="L38" s="1936">
        <f>ROUND(L13+L37,1)</f>
        <v>-1.2</v>
      </c>
      <c r="M38" s="735"/>
      <c r="N38" s="1936">
        <f>ROUND(N13+N37,1)</f>
        <v>-1.7</v>
      </c>
      <c r="O38" s="735"/>
      <c r="P38" s="1936">
        <f>ROUND(P13+P37,1)</f>
        <v>0</v>
      </c>
      <c r="Q38" s="735"/>
      <c r="R38" s="1936">
        <f>ROUND(R13+R37,1)</f>
        <v>0</v>
      </c>
      <c r="S38" s="1937"/>
      <c r="T38" s="1936">
        <f>ROUND(T13+T37,1)</f>
        <v>0</v>
      </c>
      <c r="U38" s="1937"/>
      <c r="V38" s="1936">
        <f>ROUND(V13+V37,1)</f>
        <v>0</v>
      </c>
      <c r="W38" s="1937"/>
      <c r="X38" s="1936">
        <f>ROUND(X13+X37,1)</f>
        <v>0</v>
      </c>
      <c r="Y38" s="1898"/>
      <c r="Z38" s="1899"/>
      <c r="AA38" s="1936">
        <f>ROUND(SUM(AA13,AA37),1)</f>
        <v>-1.7</v>
      </c>
      <c r="AB38" s="735"/>
      <c r="AC38" s="1938"/>
      <c r="AD38" s="1998">
        <f>ROUND(SUM(AD13,AD37),1)</f>
        <v>-0.4</v>
      </c>
      <c r="AE38" s="2541"/>
      <c r="AF38" s="2532"/>
      <c r="AG38" s="2584">
        <f>ROUND(SUM(AA38-AD38),1)</f>
        <v>-1.3</v>
      </c>
      <c r="AH38" s="2560"/>
      <c r="AI38" s="2585">
        <f>-ROUND(IF(AG38=0,0,AG38/(AD38)),3)</f>
        <v>-3.25</v>
      </c>
    </row>
    <row r="39" spans="1:35" s="757" customFormat="1" ht="18.95" customHeight="1" thickTop="1">
      <c r="A39" s="356" t="s">
        <v>16</v>
      </c>
      <c r="B39" s="1939"/>
      <c r="C39" s="1940"/>
      <c r="D39" s="1939"/>
      <c r="E39" s="1940"/>
      <c r="F39" s="1939"/>
      <c r="G39" s="1940"/>
      <c r="H39" s="1939"/>
      <c r="I39" s="1940"/>
      <c r="J39" s="1939"/>
      <c r="K39" s="1940"/>
      <c r="L39" s="1939"/>
      <c r="M39" s="1940"/>
      <c r="N39" s="1939"/>
      <c r="O39" s="1940"/>
      <c r="P39" s="1939"/>
      <c r="Q39" s="1940"/>
      <c r="R39" s="1939"/>
      <c r="S39" s="1940"/>
      <c r="T39" s="1939"/>
      <c r="U39" s="1940"/>
      <c r="V39" s="1939"/>
      <c r="W39" s="1940"/>
      <c r="X39" s="1939"/>
      <c r="Y39" s="1940"/>
      <c r="Z39" s="1940"/>
      <c r="AA39" s="1939"/>
      <c r="AB39" s="1941"/>
      <c r="AC39" s="1941"/>
      <c r="AD39" s="1941"/>
      <c r="AE39" s="2558"/>
      <c r="AF39" s="2558"/>
      <c r="AG39" s="2543"/>
      <c r="AH39" s="2534"/>
      <c r="AI39" s="2533"/>
    </row>
    <row r="40" spans="1:35" s="757" customFormat="1" ht="18.95" customHeight="1">
      <c r="B40" s="1310"/>
      <c r="C40" s="1857"/>
      <c r="D40" s="1310"/>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941"/>
      <c r="AA40" s="1941"/>
      <c r="AB40" s="1941"/>
      <c r="AC40" s="1941"/>
      <c r="AD40" s="1941"/>
      <c r="AE40" s="2558"/>
      <c r="AF40" s="2558"/>
      <c r="AG40" s="2543"/>
      <c r="AH40" s="2534"/>
      <c r="AI40" s="2533"/>
    </row>
    <row r="41" spans="1:35" ht="15.75" customHeight="1">
      <c r="A41" s="761"/>
      <c r="B41" s="1857"/>
      <c r="C41" s="1857"/>
      <c r="D41" s="1857"/>
      <c r="E41" s="1857"/>
      <c r="F41" s="1857"/>
      <c r="G41" s="1857"/>
      <c r="H41" s="1857"/>
      <c r="I41" s="1857"/>
      <c r="J41" s="1857"/>
      <c r="K41" s="1857"/>
      <c r="L41" s="1857"/>
      <c r="M41" s="1857"/>
      <c r="N41" s="1857"/>
      <c r="O41" s="1857"/>
      <c r="P41" s="1857"/>
      <c r="Q41" s="1857"/>
      <c r="R41" s="1857"/>
      <c r="S41" s="1857"/>
      <c r="T41" s="1857"/>
      <c r="U41" s="1857"/>
      <c r="V41" s="1857"/>
      <c r="W41" s="1857"/>
      <c r="X41" s="1857"/>
      <c r="Y41" s="1857"/>
      <c r="Z41" s="1857"/>
      <c r="AA41" s="372"/>
      <c r="AB41" s="372"/>
      <c r="AC41" s="372"/>
      <c r="AD41" s="1940"/>
      <c r="AE41" s="2536"/>
      <c r="AF41" s="2536"/>
      <c r="AG41" s="2543"/>
    </row>
    <row r="42" spans="1:35">
      <c r="A42" s="757"/>
      <c r="B42" s="757"/>
      <c r="C42" s="757"/>
      <c r="D42" s="757"/>
      <c r="E42" s="757"/>
      <c r="F42" s="757"/>
      <c r="G42" s="757"/>
      <c r="H42" s="757"/>
      <c r="I42" s="757"/>
      <c r="J42" s="757"/>
      <c r="K42" s="757"/>
      <c r="L42" s="757"/>
      <c r="M42" s="757"/>
      <c r="N42" s="757"/>
      <c r="O42" s="757"/>
      <c r="P42" s="757"/>
      <c r="Q42" s="757"/>
      <c r="R42" s="757"/>
      <c r="S42" s="757"/>
      <c r="T42" s="757"/>
      <c r="U42" s="757"/>
      <c r="V42" s="757"/>
      <c r="W42" s="757"/>
      <c r="X42" s="757"/>
      <c r="Y42" s="757"/>
      <c r="Z42" s="757"/>
    </row>
    <row r="43" spans="1:35" ht="13.5" customHeight="1">
      <c r="A43" s="1407"/>
      <c r="B43" s="1857"/>
      <c r="C43" s="1857"/>
      <c r="D43" s="1857"/>
      <c r="E43" s="1857"/>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372"/>
      <c r="AB43" s="372"/>
      <c r="AC43" s="372"/>
      <c r="AD43" s="1940"/>
      <c r="AE43" s="2536"/>
      <c r="AF43" s="2536"/>
      <c r="AG43" s="2543"/>
    </row>
    <row r="44" spans="1:35">
      <c r="A44" s="1407"/>
      <c r="B44" s="1857"/>
      <c r="C44" s="1857"/>
      <c r="D44" s="1857"/>
      <c r="E44" s="1857"/>
      <c r="F44" s="1857"/>
      <c r="G44" s="1857"/>
      <c r="H44" s="1857"/>
      <c r="I44" s="1857"/>
      <c r="J44" s="1857"/>
      <c r="K44" s="1857"/>
      <c r="L44" s="1857"/>
      <c r="M44" s="1857"/>
      <c r="N44" s="1857"/>
      <c r="O44" s="1857"/>
      <c r="P44" s="1857"/>
      <c r="Q44" s="1857"/>
      <c r="R44" s="1857"/>
      <c r="S44" s="1857"/>
      <c r="T44" s="1857"/>
      <c r="U44" s="1857"/>
      <c r="V44" s="1857"/>
      <c r="W44" s="1857"/>
      <c r="X44" s="1857"/>
      <c r="Y44" s="1857"/>
      <c r="Z44" s="1857"/>
      <c r="AA44" s="372"/>
      <c r="AB44" s="372"/>
      <c r="AC44" s="372"/>
      <c r="AD44" s="1940"/>
      <c r="AE44" s="2536"/>
      <c r="AF44" s="2536"/>
      <c r="AG44" s="2543"/>
    </row>
    <row r="45" spans="1:35">
      <c r="A45" s="1407"/>
      <c r="B45" s="1857"/>
      <c r="C45" s="1857"/>
      <c r="D45" s="1857"/>
      <c r="E45" s="1857"/>
      <c r="F45" s="1857"/>
      <c r="G45" s="1857"/>
      <c r="H45" s="1857"/>
      <c r="I45" s="1857"/>
      <c r="J45" s="1857"/>
      <c r="K45" s="1857"/>
      <c r="L45" s="1857"/>
      <c r="M45" s="1857"/>
      <c r="N45" s="1857"/>
      <c r="O45" s="1857"/>
      <c r="P45" s="1857"/>
      <c r="Q45" s="1857"/>
      <c r="R45" s="1857"/>
      <c r="S45" s="1857"/>
      <c r="T45" s="1857"/>
      <c r="U45" s="1857"/>
      <c r="V45" s="1857"/>
      <c r="W45" s="1857"/>
      <c r="X45" s="1857"/>
      <c r="Y45" s="1857"/>
      <c r="Z45" s="1857"/>
      <c r="AA45" s="372"/>
      <c r="AB45" s="372"/>
      <c r="AC45" s="372"/>
      <c r="AD45" s="1940"/>
      <c r="AE45" s="2536"/>
      <c r="AF45" s="2536"/>
    </row>
    <row r="46" spans="1:35">
      <c r="A46" s="1407"/>
      <c r="B46" s="1857"/>
      <c r="C46" s="1857"/>
      <c r="D46" s="1857"/>
      <c r="E46" s="1857"/>
      <c r="F46" s="1857"/>
      <c r="G46" s="1857"/>
      <c r="H46" s="1857"/>
      <c r="I46" s="1857"/>
      <c r="J46" s="1857"/>
      <c r="K46" s="1857"/>
      <c r="L46" s="1857"/>
      <c r="M46" s="1857"/>
      <c r="N46" s="1857"/>
      <c r="O46" s="1857"/>
      <c r="P46" s="1857"/>
      <c r="Q46" s="1857"/>
      <c r="R46" s="1857"/>
      <c r="S46" s="1857"/>
      <c r="T46" s="1857"/>
      <c r="U46" s="1857"/>
      <c r="V46" s="1857"/>
      <c r="W46" s="1857"/>
      <c r="X46" s="1857"/>
      <c r="Y46" s="1857"/>
      <c r="Z46" s="1857"/>
      <c r="AA46" s="372"/>
      <c r="AB46" s="372"/>
      <c r="AC46" s="372"/>
      <c r="AD46" s="1940"/>
      <c r="AE46" s="2536"/>
      <c r="AF46" s="2536"/>
    </row>
    <row r="47" spans="1:35">
      <c r="A47" s="1407"/>
      <c r="B47" s="1407"/>
      <c r="C47" s="1407"/>
      <c r="D47" s="1407"/>
      <c r="E47" s="1407"/>
      <c r="F47" s="1407"/>
      <c r="G47" s="1407"/>
      <c r="H47" s="1407"/>
      <c r="I47" s="1407"/>
      <c r="J47" s="1407"/>
      <c r="K47" s="1407"/>
      <c r="L47" s="1407"/>
      <c r="M47" s="1407"/>
      <c r="N47" s="1407"/>
      <c r="O47" s="1407"/>
      <c r="P47" s="1407"/>
      <c r="Q47" s="1407"/>
      <c r="R47" s="1407"/>
      <c r="S47" s="1407"/>
      <c r="T47" s="1407"/>
      <c r="U47" s="1407"/>
      <c r="V47" s="1407"/>
      <c r="W47" s="1407"/>
      <c r="X47" s="1407"/>
      <c r="Y47" s="1407"/>
      <c r="Z47" s="1407"/>
      <c r="AA47" s="227"/>
      <c r="AB47" s="227"/>
      <c r="AC47" s="227"/>
      <c r="AD47" s="356"/>
    </row>
  </sheetData>
  <customSheetViews>
    <customSheetView guid="{BD09DBC2-63A5-4D9C-9B00-4281066E9389}" scale="60" showGridLines="0" outlineSymbols="0" fitToPage="1" printArea="1" topLeftCell="A4">
      <selection activeCell="B42" sqref="B42"/>
      <pageMargins left="0.5" right="0.42708333300000001" top="0.46666666666666701" bottom="0.6" header="0" footer="0.25"/>
      <pageSetup firstPageNumber="36" fitToHeight="0" orientation="landscape" useFirstPageNumber="1" r:id="rId1"/>
      <headerFooter scaleWithDoc="0" alignWithMargins="0">
        <oddFooter>&amp;C&amp;8&amp;P</oddFooter>
      </headerFooter>
    </customSheetView>
    <customSheetView guid="{C82E0A7D-2B5B-48FC-A705-3168E651E04C}" scale="60" showGridLines="0" outlineSymbols="0" fitToPage="1" printArea="1">
      <selection activeCell="F14" sqref="F14"/>
      <pageMargins left="0.5" right="0.42708333300000001" top="0.46666666666666701" bottom="0.6" header="0" footer="0.25"/>
      <pageSetup scale="43" fitToHeight="0" orientation="landscape" r:id="rId2"/>
      <headerFooter scaleWithDoc="0" alignWithMargins="0">
        <oddFooter>&amp;C&amp;8 36</oddFooter>
      </headerFooter>
    </customSheetView>
    <customSheetView guid="{A8B05C3B-0E7E-44A3-A097-AF4C5C09F04E}" scale="60" showGridLines="0" outlineSymbols="0" fitToPage="1" printArea="1">
      <selection activeCell="N16" sqref="N16"/>
      <pageMargins left="0.5" right="0.42708333300000001" top="0.46666666666666701" bottom="0.6" header="0" footer="0.25"/>
      <pageSetup scale="43" fitToHeight="0" orientation="landscape" r:id="rId3"/>
      <headerFooter scaleWithDoc="0" alignWithMargins="0">
        <oddFooter>&amp;C&amp;8 36</oddFooter>
      </headerFooter>
    </customSheetView>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4"/>
      <headerFooter scaleWithDoc="0" alignWithMargins="0">
        <oddFooter>&amp;C&amp;8 36</oddFooter>
      </headerFooter>
    </customSheetView>
    <customSheetView guid="{4735AAE3-27B4-4549-AAB4-50ACA997F5F5}" scale="60" showGridLines="0" outlineSymbols="0" fitToPage="1" printArea="1" topLeftCell="A7">
      <selection activeCell="AI40" sqref="AI40"/>
      <pageMargins left="0.5" right="0.42708333300000001" top="0.46666666666666701" bottom="0.6" header="0" footer="0.25"/>
      <pageSetup scale="43" fitToHeight="0" orientation="landscape" r:id="rId5"/>
      <headerFooter scaleWithDoc="0" alignWithMargins="0">
        <oddFooter>&amp;C&amp;8 36</oddFooter>
      </headerFooter>
    </customSheetView>
    <customSheetView guid="{80622567-647A-4891-B8EE-6B9E2C4DAC44}" scale="60" showGridLines="0" outlineSymbols="0" fitToPage="1" printArea="1">
      <selection activeCell="AD29" sqref="AD29"/>
      <pageMargins left="0.5" right="0.42708333300000001" top="0.46666666666666701" bottom="0.6" header="0" footer="0.25"/>
      <pageSetup scale="43" fitToHeight="0" orientation="landscape" r:id="rId6"/>
      <headerFooter scaleWithDoc="0" alignWithMargins="0">
        <oddFooter>&amp;C&amp;8 36</oddFooter>
      </headerFooter>
    </customSheetView>
    <customSheetView guid="{A97EE6C3-4DA8-41BD-BE43-F596EFCB43CA}" scale="60" showGridLines="0" outlineSymbols="0" fitToPage="1" printArea="1">
      <selection activeCell="F14" sqref="F14"/>
      <pageMargins left="0.5" right="0.42708333300000001" top="0.46666666666666701" bottom="0.6" header="0" footer="0.25"/>
      <pageSetup scale="43" fitToHeight="0" orientation="landscape" r:id="rId7"/>
      <headerFooter scaleWithDoc="0" alignWithMargins="0">
        <oddFooter>&amp;C&amp;8 36</oddFooter>
      </headerFooter>
    </customSheetView>
    <customSheetView guid="{90B76C5A-2FC4-40F0-8436-3E4F075A4887}" scale="70" showGridLines="0" outlineSymbols="0" fitToPage="1" printArea="1" topLeftCell="C7">
      <selection activeCell="F14" sqref="F14"/>
      <pageMargins left="0.5" right="0.42708333300000001" top="0.46666666666666701" bottom="0.6" header="0" footer="0.25"/>
      <pageSetup scale="41" fitToHeight="0" orientation="landscape" r:id="rId8"/>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9"/>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sheetPr codeName="Sheet27">
    <pageSetUpPr autoPageBreaks="0" fitToPage="1"/>
  </sheetPr>
  <dimension ref="A1:AI47"/>
  <sheetViews>
    <sheetView showGridLines="0" showOutlineSymbols="0" zoomScale="60" zoomScaleNormal="70" zoomScaleSheetLayoutView="75" workbookViewId="0"/>
  </sheetViews>
  <sheetFormatPr defaultColWidth="8.88671875" defaultRowHeight="12.75"/>
  <cols>
    <col min="1" max="1" width="46.88671875" style="755" customWidth="1"/>
    <col min="2" max="2" width="8.6640625" style="755" customWidth="1"/>
    <col min="3" max="3" width="1.6640625" style="755" customWidth="1"/>
    <col min="4" max="4" width="8.6640625" style="755" customWidth="1"/>
    <col min="5" max="5" width="1.6640625" style="755" customWidth="1"/>
    <col min="6" max="6" width="8.6640625" style="755" customWidth="1"/>
    <col min="7" max="7" width="1.6640625" style="755" customWidth="1"/>
    <col min="8" max="8" width="8.6640625" style="755" customWidth="1"/>
    <col min="9" max="9" width="1.6640625" style="755" customWidth="1"/>
    <col min="10" max="10" width="10.6640625" style="755" customWidth="1"/>
    <col min="11" max="11" width="1.6640625" style="755" customWidth="1"/>
    <col min="12" max="12" width="14.77734375" style="755" bestFit="1" customWidth="1"/>
    <col min="13" max="13" width="1.6640625" style="755" customWidth="1"/>
    <col min="14" max="14" width="11.88671875" style="755" bestFit="1" customWidth="1"/>
    <col min="15" max="15" width="1.6640625" style="755" customWidth="1"/>
    <col min="16" max="16" width="13.5546875" style="755" bestFit="1" customWidth="1"/>
    <col min="17" max="17" width="1.6640625" style="755" customWidth="1"/>
    <col min="18" max="18" width="13.5546875" style="755" bestFit="1" customWidth="1"/>
    <col min="19" max="19" width="1.6640625" style="755" customWidth="1"/>
    <col min="20" max="20" width="11" style="755" bestFit="1" customWidth="1"/>
    <col min="21" max="21" width="1.6640625" style="755" customWidth="1"/>
    <col min="22" max="22" width="12.6640625" style="755" bestFit="1" customWidth="1"/>
    <col min="23" max="23" width="1.6640625" style="755" customWidth="1"/>
    <col min="24" max="24" width="8.6640625" style="755" customWidth="1"/>
    <col min="25" max="26" width="1.6640625" style="755" customWidth="1"/>
    <col min="27" max="27" width="10.109375" style="755" customWidth="1"/>
    <col min="28" max="29" width="1.77734375" style="755" customWidth="1"/>
    <col min="30" max="30" width="10.109375" style="755" customWidth="1"/>
    <col min="31" max="31" width="1.77734375" style="755" customWidth="1"/>
    <col min="32" max="32" width="2.44140625" style="755" customWidth="1"/>
    <col min="33" max="33" width="10.33203125" style="763" bestFit="1" customWidth="1"/>
    <col min="34" max="34" width="1.6640625" style="763" customWidth="1"/>
    <col min="35" max="35" width="11.109375" style="755" customWidth="1"/>
    <col min="36" max="16384" width="8.88671875" style="755"/>
  </cols>
  <sheetData>
    <row r="1" spans="1:35" ht="15">
      <c r="A1" s="1227" t="s">
        <v>1322</v>
      </c>
    </row>
    <row r="2" spans="1:35" ht="15">
      <c r="A2" s="1874"/>
    </row>
    <row r="3" spans="1:35" ht="20.25" customHeight="1">
      <c r="A3" s="1885" t="s">
        <v>0</v>
      </c>
      <c r="B3" s="227"/>
      <c r="C3" s="227"/>
      <c r="D3" s="227"/>
      <c r="E3" s="227"/>
      <c r="F3" s="227"/>
      <c r="G3" s="227"/>
      <c r="H3" s="227"/>
      <c r="I3" s="227"/>
      <c r="J3" s="227"/>
      <c r="K3" s="225"/>
      <c r="L3" s="225"/>
      <c r="M3" s="227"/>
      <c r="N3" s="227"/>
      <c r="O3" s="227"/>
      <c r="P3" s="227"/>
      <c r="Q3" s="227"/>
      <c r="R3" s="227"/>
      <c r="S3" s="227"/>
      <c r="T3" s="227"/>
      <c r="U3" s="227"/>
      <c r="V3" s="227"/>
      <c r="W3" s="227"/>
      <c r="X3" s="227"/>
      <c r="Y3" s="227"/>
      <c r="Z3" s="227"/>
      <c r="AA3" s="227"/>
      <c r="AB3" s="227"/>
      <c r="AC3" s="227"/>
      <c r="AD3" s="227"/>
      <c r="AE3" s="227"/>
      <c r="AF3" s="227"/>
      <c r="AG3" s="762"/>
      <c r="AI3" s="1884" t="s">
        <v>242</v>
      </c>
    </row>
    <row r="4" spans="1:35" ht="20.25" customHeight="1">
      <c r="A4" s="1887" t="s">
        <v>241</v>
      </c>
      <c r="B4" s="227"/>
      <c r="C4" s="227"/>
      <c r="D4" s="227"/>
      <c r="E4" s="227"/>
      <c r="F4" s="227"/>
      <c r="G4" s="227"/>
      <c r="H4" s="225" t="s">
        <v>16</v>
      </c>
      <c r="I4" s="227"/>
      <c r="J4" s="227"/>
      <c r="K4" s="225"/>
      <c r="L4" s="225"/>
      <c r="M4" s="227"/>
      <c r="N4" s="227"/>
      <c r="O4" s="227"/>
      <c r="P4" s="227"/>
      <c r="Q4" s="227"/>
      <c r="R4" s="227"/>
      <c r="S4" s="227"/>
      <c r="T4" s="227"/>
      <c r="U4" s="227"/>
      <c r="V4" s="227"/>
      <c r="W4" s="227"/>
      <c r="X4" s="227" t="s">
        <v>16</v>
      </c>
      <c r="Y4" s="227"/>
      <c r="Z4" s="227"/>
      <c r="AA4" s="227"/>
      <c r="AB4" s="227"/>
      <c r="AC4" s="227"/>
      <c r="AD4" s="227"/>
      <c r="AE4" s="227"/>
      <c r="AF4" s="227"/>
      <c r="AG4" s="762"/>
    </row>
    <row r="5" spans="1:35" ht="20.25" customHeight="1">
      <c r="A5" s="1887" t="s">
        <v>129</v>
      </c>
      <c r="B5" s="227"/>
      <c r="C5" s="227"/>
      <c r="D5" s="227"/>
      <c r="E5" s="227"/>
      <c r="F5" s="227"/>
      <c r="G5" s="227"/>
      <c r="H5" s="227"/>
      <c r="I5" s="227"/>
      <c r="J5" s="227"/>
      <c r="K5" s="225"/>
      <c r="L5" s="225"/>
      <c r="M5" s="227"/>
      <c r="N5" s="227"/>
      <c r="O5" s="227"/>
      <c r="P5" s="227"/>
      <c r="Q5" s="227"/>
      <c r="R5" s="227"/>
      <c r="S5" s="227"/>
      <c r="T5" s="227"/>
      <c r="U5" s="227"/>
      <c r="V5" s="227"/>
      <c r="W5" s="227"/>
      <c r="X5" s="227"/>
      <c r="Y5" s="227"/>
      <c r="Z5" s="227"/>
      <c r="AB5" s="756"/>
      <c r="AC5" s="756"/>
      <c r="AE5" s="1884"/>
      <c r="AG5" s="762"/>
    </row>
    <row r="6" spans="1:35" ht="20.25" customHeight="1">
      <c r="A6" s="1887" t="s">
        <v>1422</v>
      </c>
      <c r="B6" s="227"/>
      <c r="C6" s="227"/>
      <c r="D6" s="227"/>
      <c r="E6" s="227"/>
      <c r="F6" s="227"/>
      <c r="G6" s="227"/>
      <c r="H6" s="227"/>
      <c r="I6" s="227"/>
      <c r="J6" s="227"/>
      <c r="K6" s="225"/>
      <c r="L6" s="225"/>
      <c r="M6" s="227"/>
      <c r="N6" s="227"/>
      <c r="O6" s="227"/>
      <c r="P6" s="227"/>
      <c r="Q6" s="227"/>
      <c r="R6" s="227"/>
      <c r="S6" s="227"/>
      <c r="T6" s="227"/>
      <c r="U6" s="227"/>
      <c r="V6" s="227"/>
      <c r="W6" s="227"/>
      <c r="X6" s="227"/>
      <c r="Y6" s="227"/>
      <c r="Z6" s="227"/>
      <c r="AA6" s="227"/>
      <c r="AB6" s="227"/>
      <c r="AC6" s="227"/>
      <c r="AD6" s="227"/>
      <c r="AE6" s="227"/>
      <c r="AF6" s="227"/>
      <c r="AG6" s="762"/>
    </row>
    <row r="7" spans="1:35" ht="20.25" customHeight="1">
      <c r="A7" s="1885" t="s">
        <v>1198</v>
      </c>
      <c r="B7" s="227"/>
      <c r="C7" s="227"/>
      <c r="D7" s="227"/>
      <c r="E7" s="227"/>
      <c r="F7" s="227"/>
      <c r="G7" s="227"/>
      <c r="H7" s="227"/>
      <c r="I7" s="227"/>
      <c r="J7" s="227"/>
      <c r="K7" s="225"/>
      <c r="L7" s="227"/>
      <c r="M7" s="227"/>
      <c r="N7" s="227"/>
      <c r="O7" s="227"/>
      <c r="P7" s="227"/>
      <c r="Q7" s="227"/>
      <c r="R7" s="227"/>
      <c r="S7" s="227"/>
      <c r="T7" s="227"/>
      <c r="U7" s="227"/>
      <c r="V7" s="227"/>
      <c r="W7" s="227"/>
      <c r="X7" s="227"/>
      <c r="Y7" s="227"/>
      <c r="Z7" s="227"/>
      <c r="AA7" s="2533"/>
      <c r="AB7" s="2533"/>
      <c r="AC7" s="2533"/>
      <c r="AD7" s="2533"/>
      <c r="AE7" s="2533"/>
      <c r="AF7" s="2533"/>
      <c r="AG7" s="2534"/>
      <c r="AH7" s="2534"/>
      <c r="AI7" s="2533"/>
    </row>
    <row r="8" spans="1:35" s="757" customFormat="1" ht="18.95" customHeight="1">
      <c r="A8" s="657"/>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533"/>
      <c r="AB8" s="2533"/>
      <c r="AC8" s="2533"/>
      <c r="AD8" s="2533"/>
      <c r="AE8" s="2533"/>
      <c r="AF8" s="2533"/>
      <c r="AG8" s="2534"/>
      <c r="AH8" s="2534"/>
      <c r="AI8" s="2533"/>
    </row>
    <row r="9" spans="1:35" s="757" customFormat="1" ht="18.95" customHeight="1">
      <c r="A9" s="227"/>
      <c r="B9" s="227"/>
      <c r="C9" s="227"/>
      <c r="D9" s="227"/>
      <c r="E9" s="227"/>
      <c r="F9" s="227"/>
      <c r="G9" s="227"/>
      <c r="H9" s="225"/>
      <c r="I9" s="225"/>
      <c r="J9" s="225"/>
      <c r="K9" s="227"/>
      <c r="L9" s="227"/>
      <c r="M9" s="227"/>
      <c r="N9" s="227"/>
      <c r="O9" s="227"/>
      <c r="P9" s="227"/>
      <c r="Q9" s="227"/>
      <c r="R9" s="227"/>
      <c r="S9" s="227"/>
      <c r="T9" s="227"/>
      <c r="U9" s="227"/>
      <c r="V9" s="227"/>
      <c r="W9" s="227"/>
      <c r="X9" s="227"/>
      <c r="Y9" s="227"/>
      <c r="Z9" s="227"/>
      <c r="AA9" s="2533"/>
      <c r="AB9" s="2533"/>
      <c r="AC9" s="3374"/>
      <c r="AD9" s="3375"/>
      <c r="AE9" s="3375"/>
      <c r="AF9" s="3375"/>
      <c r="AG9" s="3375"/>
      <c r="AH9" s="3375"/>
      <c r="AI9" s="3375"/>
    </row>
    <row r="10" spans="1:35" s="757" customFormat="1" ht="18.95" customHeight="1">
      <c r="A10" s="356"/>
      <c r="B10" s="356"/>
      <c r="C10" s="356"/>
      <c r="D10" s="356"/>
      <c r="E10" s="356"/>
      <c r="F10" s="356"/>
      <c r="G10" s="356"/>
      <c r="H10" s="356"/>
      <c r="I10" s="356"/>
      <c r="J10" s="356"/>
      <c r="K10" s="356"/>
      <c r="L10" s="356"/>
      <c r="M10" s="356"/>
      <c r="N10" s="356"/>
      <c r="O10" s="356"/>
      <c r="P10" s="356"/>
      <c r="Q10" s="356"/>
      <c r="R10" s="356"/>
      <c r="S10" s="356"/>
      <c r="T10" s="356"/>
      <c r="U10" s="356"/>
      <c r="V10" s="1888"/>
      <c r="W10" s="1889"/>
      <c r="X10" s="1890"/>
      <c r="Y10" s="1891"/>
      <c r="AA10" s="3373" t="s">
        <v>1630</v>
      </c>
      <c r="AB10" s="3376"/>
      <c r="AC10" s="3376"/>
      <c r="AD10" s="3376"/>
      <c r="AE10" s="3376"/>
      <c r="AF10" s="3376"/>
      <c r="AG10" s="3376"/>
      <c r="AH10" s="3376"/>
      <c r="AI10" s="3376"/>
    </row>
    <row r="11" spans="1:35" s="757" customFormat="1" ht="18.95" customHeight="1">
      <c r="A11" s="356"/>
      <c r="B11" s="1671" t="s">
        <v>130</v>
      </c>
      <c r="C11" s="466"/>
      <c r="D11" s="466"/>
      <c r="E11" s="466"/>
      <c r="F11" s="466"/>
      <c r="G11" s="466"/>
      <c r="H11" s="466"/>
      <c r="I11" s="466"/>
      <c r="J11" s="466"/>
      <c r="K11" s="466"/>
      <c r="L11" s="466"/>
      <c r="M11" s="466"/>
      <c r="N11" s="466"/>
      <c r="O11" s="466"/>
      <c r="P11" s="466"/>
      <c r="Q11" s="466"/>
      <c r="R11" s="466"/>
      <c r="S11" s="466"/>
      <c r="T11" s="1671" t="s">
        <v>1169</v>
      </c>
      <c r="U11" s="466"/>
      <c r="V11" s="466"/>
      <c r="W11" s="466"/>
      <c r="X11" s="466"/>
      <c r="Y11" s="466"/>
      <c r="Z11" s="1672"/>
      <c r="AA11" s="2523"/>
      <c r="AB11" s="2523"/>
      <c r="AC11" s="2523"/>
      <c r="AD11" s="2567"/>
      <c r="AE11" s="2567"/>
      <c r="AF11" s="2523"/>
      <c r="AG11" s="2537" t="s">
        <v>8</v>
      </c>
      <c r="AH11" s="2537"/>
      <c r="AI11" s="2538" t="s">
        <v>9</v>
      </c>
    </row>
    <row r="12" spans="1:35" s="757" customFormat="1" ht="18.95" customHeight="1">
      <c r="A12" s="356"/>
      <c r="B12" s="1673" t="s">
        <v>131</v>
      </c>
      <c r="C12" s="466"/>
      <c r="D12" s="1892" t="s">
        <v>132</v>
      </c>
      <c r="E12" s="466"/>
      <c r="F12" s="1892" t="s">
        <v>133</v>
      </c>
      <c r="G12" s="466"/>
      <c r="H12" s="1892" t="s">
        <v>134</v>
      </c>
      <c r="I12" s="466"/>
      <c r="J12" s="1893" t="s">
        <v>239</v>
      </c>
      <c r="K12" s="466"/>
      <c r="L12" s="1893" t="s">
        <v>150</v>
      </c>
      <c r="M12" s="466"/>
      <c r="N12" s="1893" t="s">
        <v>151</v>
      </c>
      <c r="O12" s="466"/>
      <c r="P12" s="1892" t="s">
        <v>138</v>
      </c>
      <c r="Q12" s="466"/>
      <c r="R12" s="1892" t="s">
        <v>139</v>
      </c>
      <c r="S12" s="466"/>
      <c r="T12" s="1893" t="s">
        <v>140</v>
      </c>
      <c r="U12" s="466"/>
      <c r="V12" s="1892" t="s">
        <v>141</v>
      </c>
      <c r="W12" s="466"/>
      <c r="X12" s="1893" t="s">
        <v>196</v>
      </c>
      <c r="Y12" s="466"/>
      <c r="Z12" s="466"/>
      <c r="AA12" s="2588">
        <v>2014</v>
      </c>
      <c r="AB12" s="2588"/>
      <c r="AC12" s="2561"/>
      <c r="AD12" s="2589">
        <v>2013</v>
      </c>
      <c r="AE12" s="2561"/>
      <c r="AF12" s="2561"/>
      <c r="AG12" s="2539" t="s">
        <v>13</v>
      </c>
      <c r="AH12" s="2540"/>
      <c r="AI12" s="2539" t="s">
        <v>14</v>
      </c>
    </row>
    <row r="13" spans="1:35" s="757" customFormat="1" ht="18.95" customHeight="1">
      <c r="A13" s="466" t="s">
        <v>143</v>
      </c>
      <c r="B13" s="1897">
        <v>10.9</v>
      </c>
      <c r="C13" s="732"/>
      <c r="D13" s="1897">
        <v>11</v>
      </c>
      <c r="E13" s="732"/>
      <c r="F13" s="1897">
        <v>11.1</v>
      </c>
      <c r="G13" s="732"/>
      <c r="H13" s="1897">
        <f>+F38</f>
        <v>11.3</v>
      </c>
      <c r="I13" s="1937"/>
      <c r="J13" s="1897">
        <f>H38</f>
        <v>11.3</v>
      </c>
      <c r="K13" s="732"/>
      <c r="L13" s="1897">
        <f>J38</f>
        <v>11.3</v>
      </c>
      <c r="M13" s="1937"/>
      <c r="N13" s="1897">
        <f>L38</f>
        <v>11.3</v>
      </c>
      <c r="O13" s="1937"/>
      <c r="P13" s="1897"/>
      <c r="Q13" s="1937"/>
      <c r="R13" s="1897"/>
      <c r="S13" s="1937"/>
      <c r="T13" s="1897"/>
      <c r="U13" s="1937"/>
      <c r="V13" s="1897"/>
      <c r="W13" s="1937"/>
      <c r="X13" s="1897"/>
      <c r="Y13" s="1898"/>
      <c r="Z13" s="1899"/>
      <c r="AA13" s="2590">
        <f>+B13</f>
        <v>10.9</v>
      </c>
      <c r="AB13" s="2591"/>
      <c r="AC13" s="2592"/>
      <c r="AD13" s="2590">
        <v>10.3</v>
      </c>
      <c r="AE13" s="2568"/>
      <c r="AF13" s="2564"/>
      <c r="AG13" s="2541">
        <f>ROUND(SUM(AA13-AD13),1)</f>
        <v>0.6</v>
      </c>
      <c r="AH13" s="2534"/>
      <c r="AI13" s="2542">
        <f>ROUND(IF(AG13=0,0,AG13/(AD13)),3)</f>
        <v>5.8000000000000003E-2</v>
      </c>
    </row>
    <row r="14" spans="1:35" s="757" customFormat="1" ht="18.95" customHeight="1">
      <c r="A14" s="356"/>
      <c r="B14" s="736"/>
      <c r="C14" s="736"/>
      <c r="D14" s="736"/>
      <c r="E14" s="736"/>
      <c r="F14" s="736"/>
      <c r="G14" s="736"/>
      <c r="H14" s="1905"/>
      <c r="I14" s="1905"/>
      <c r="J14" s="1905"/>
      <c r="K14" s="736"/>
      <c r="L14" s="1905"/>
      <c r="M14" s="1905"/>
      <c r="N14" s="1905"/>
      <c r="O14" s="1905"/>
      <c r="P14" s="1905"/>
      <c r="Q14" s="1905"/>
      <c r="R14" s="1905"/>
      <c r="S14" s="1905"/>
      <c r="T14" s="1905"/>
      <c r="U14" s="1905"/>
      <c r="V14" s="1905"/>
      <c r="W14" s="1905"/>
      <c r="X14" s="1905"/>
      <c r="Y14" s="1903"/>
      <c r="Z14" s="1904"/>
      <c r="AA14" s="2569"/>
      <c r="AB14" s="2593"/>
      <c r="AC14" s="2594"/>
      <c r="AD14" s="2569"/>
      <c r="AE14" s="2569"/>
      <c r="AF14" s="2565"/>
      <c r="AG14" s="2543"/>
      <c r="AH14" s="2534"/>
      <c r="AI14" s="2533"/>
    </row>
    <row r="15" spans="1:35" s="757" customFormat="1" ht="18.95" customHeight="1">
      <c r="A15" s="466" t="s">
        <v>15</v>
      </c>
      <c r="B15" s="736"/>
      <c r="C15" s="736"/>
      <c r="D15" s="736"/>
      <c r="E15" s="736"/>
      <c r="F15" s="736"/>
      <c r="G15" s="736"/>
      <c r="H15" s="1905"/>
      <c r="I15" s="1905"/>
      <c r="J15" s="1905"/>
      <c r="K15" s="736"/>
      <c r="L15" s="1905"/>
      <c r="M15" s="1905"/>
      <c r="N15" s="1905"/>
      <c r="O15" s="1905"/>
      <c r="P15" s="1905"/>
      <c r="Q15" s="1905"/>
      <c r="R15" s="1905"/>
      <c r="S15" s="1905"/>
      <c r="T15" s="1905"/>
      <c r="U15" s="1905"/>
      <c r="V15" s="1905"/>
      <c r="W15" s="1905"/>
      <c r="X15" s="1905"/>
      <c r="Y15" s="1903"/>
      <c r="Z15" s="1904"/>
      <c r="AA15" s="2569"/>
      <c r="AB15" s="2593"/>
      <c r="AC15" s="2594"/>
      <c r="AD15" s="2569"/>
      <c r="AE15" s="2569"/>
      <c r="AF15" s="2565"/>
      <c r="AG15" s="2543"/>
      <c r="AH15" s="2534"/>
      <c r="AI15" s="2533"/>
    </row>
    <row r="16" spans="1:35" s="757" customFormat="1" ht="18.95" customHeight="1">
      <c r="A16" s="1906" t="s">
        <v>188</v>
      </c>
      <c r="B16" s="1907">
        <v>0.1</v>
      </c>
      <c r="C16" s="447"/>
      <c r="D16" s="1907">
        <v>0.1</v>
      </c>
      <c r="E16" s="447"/>
      <c r="F16" s="713">
        <v>0.2</v>
      </c>
      <c r="G16" s="447"/>
      <c r="H16" s="713">
        <v>0.1</v>
      </c>
      <c r="I16" s="1908"/>
      <c r="J16" s="713">
        <v>0</v>
      </c>
      <c r="K16" s="447"/>
      <c r="L16" s="1923">
        <v>0.1</v>
      </c>
      <c r="M16" s="1909"/>
      <c r="N16" s="713">
        <v>0.1</v>
      </c>
      <c r="O16" s="1909"/>
      <c r="P16" s="1907"/>
      <c r="Q16" s="1909"/>
      <c r="R16" s="1923"/>
      <c r="S16" s="1909"/>
      <c r="T16" s="713"/>
      <c r="U16" s="1909"/>
      <c r="V16" s="1923"/>
      <c r="W16" s="1909"/>
      <c r="X16" s="713"/>
      <c r="Y16" s="1910"/>
      <c r="Z16" s="1911"/>
      <c r="AA16" s="2595">
        <f>ROUND(SUM(B16:X16),1)</f>
        <v>0.7</v>
      </c>
      <c r="AB16" s="2596"/>
      <c r="AC16" s="2597"/>
      <c r="AD16" s="2598">
        <v>0.7</v>
      </c>
      <c r="AE16" s="2570"/>
      <c r="AF16" s="2526"/>
      <c r="AG16" s="2583">
        <f>ROUND(SUM(AA16-AD16),1)</f>
        <v>0</v>
      </c>
      <c r="AH16" s="2534"/>
      <c r="AI16" s="2555">
        <f>ROUND(IF(AG16=0,0,AG16/(AD16)),3)</f>
        <v>0</v>
      </c>
    </row>
    <row r="17" spans="1:35" s="757" customFormat="1" ht="24" customHeight="1">
      <c r="A17" s="466" t="s">
        <v>158</v>
      </c>
      <c r="B17" s="1924">
        <f>ROUND(SUM(B16),1)</f>
        <v>0.1</v>
      </c>
      <c r="C17" s="744"/>
      <c r="D17" s="1924">
        <f>ROUND(SUM(D16),1)</f>
        <v>0.1</v>
      </c>
      <c r="E17" s="744"/>
      <c r="F17" s="1924">
        <f>ROUND(SUM(F16),1)</f>
        <v>0.2</v>
      </c>
      <c r="G17" s="744"/>
      <c r="H17" s="1924">
        <f>ROUND(SUM(H16),1)</f>
        <v>0.1</v>
      </c>
      <c r="I17" s="1913"/>
      <c r="J17" s="1924">
        <f>ROUND(SUM(J16),1)</f>
        <v>0</v>
      </c>
      <c r="K17" s="744"/>
      <c r="L17" s="1924">
        <f>ROUND(SUM(L16),1)</f>
        <v>0.1</v>
      </c>
      <c r="M17" s="1914"/>
      <c r="N17" s="1924">
        <f>ROUND(SUM(N16),1)</f>
        <v>0.1</v>
      </c>
      <c r="O17" s="1914"/>
      <c r="P17" s="1924">
        <f>ROUND(SUM(P16),1)</f>
        <v>0</v>
      </c>
      <c r="Q17" s="1914"/>
      <c r="R17" s="1924">
        <f>ROUND(SUM(R16),1)</f>
        <v>0</v>
      </c>
      <c r="S17" s="1914"/>
      <c r="T17" s="1924">
        <f>ROUND(SUM(T16),1)</f>
        <v>0</v>
      </c>
      <c r="U17" s="1914"/>
      <c r="V17" s="1924">
        <f>ROUND(SUM(V16),1)</f>
        <v>0</v>
      </c>
      <c r="W17" s="1914"/>
      <c r="X17" s="1924">
        <f>ROUND(SUM(X16),1)</f>
        <v>0</v>
      </c>
      <c r="Y17" s="1915"/>
      <c r="Z17" s="1916"/>
      <c r="AA17" s="2571">
        <f>ROUND(SUM(AA16),1)</f>
        <v>0.7</v>
      </c>
      <c r="AB17" s="2599"/>
      <c r="AC17" s="2600"/>
      <c r="AD17" s="2571">
        <f>ROUND(SUM(AD16),1)</f>
        <v>0.7</v>
      </c>
      <c r="AE17" s="2571"/>
      <c r="AF17" s="2526"/>
      <c r="AG17" s="2580">
        <f>ROUND(SUM(AG16),1)</f>
        <v>0</v>
      </c>
      <c r="AH17" s="2581"/>
      <c r="AI17" s="2582">
        <f>ROUND(IF(AG17=0,0,AG17/(AD17)),3)</f>
        <v>0</v>
      </c>
    </row>
    <row r="18" spans="1:35" s="757" customFormat="1" ht="18.95" customHeight="1">
      <c r="A18" s="356"/>
      <c r="B18" s="743"/>
      <c r="C18" s="447"/>
      <c r="D18" s="743" t="s">
        <v>16</v>
      </c>
      <c r="E18" s="447"/>
      <c r="F18" s="743"/>
      <c r="G18" s="447"/>
      <c r="H18" s="1917"/>
      <c r="I18" s="1909"/>
      <c r="J18" s="1917"/>
      <c r="K18" s="447"/>
      <c r="L18" s="1918"/>
      <c r="M18" s="1909"/>
      <c r="N18" s="1917"/>
      <c r="O18" s="1909"/>
      <c r="P18" s="1917"/>
      <c r="Q18" s="1909"/>
      <c r="R18" s="1917"/>
      <c r="S18" s="1909"/>
      <c r="T18" s="1917"/>
      <c r="U18" s="1909"/>
      <c r="V18" s="1917"/>
      <c r="W18" s="1909"/>
      <c r="X18" s="1917"/>
      <c r="Y18" s="1910"/>
      <c r="Z18" s="1911"/>
      <c r="AA18" s="2601"/>
      <c r="AB18" s="2596"/>
      <c r="AC18" s="2602"/>
      <c r="AD18" s="2601"/>
      <c r="AE18" s="2549"/>
      <c r="AF18" s="2526"/>
      <c r="AG18" s="2549"/>
      <c r="AH18" s="2534"/>
      <c r="AI18" s="2533"/>
    </row>
    <row r="19" spans="1:35" s="757" customFormat="1" ht="18.95" customHeight="1">
      <c r="A19" s="356"/>
      <c r="B19" s="447"/>
      <c r="C19" s="447"/>
      <c r="D19" s="447" t="s">
        <v>16</v>
      </c>
      <c r="E19" s="447"/>
      <c r="F19" s="447"/>
      <c r="G19" s="447"/>
      <c r="H19" s="1909"/>
      <c r="I19" s="1909"/>
      <c r="J19" s="1909"/>
      <c r="K19" s="447"/>
      <c r="L19" s="1919"/>
      <c r="M19" s="1909"/>
      <c r="N19" s="1909"/>
      <c r="O19" s="1909"/>
      <c r="P19" s="1909"/>
      <c r="Q19" s="1909"/>
      <c r="R19" s="1909"/>
      <c r="S19" s="1909"/>
      <c r="T19" s="1909"/>
      <c r="U19" s="1909"/>
      <c r="V19" s="1909"/>
      <c r="W19" s="1909"/>
      <c r="X19" s="1909"/>
      <c r="Y19" s="1910"/>
      <c r="Z19" s="1911"/>
      <c r="AA19" s="2572"/>
      <c r="AB19" s="2596"/>
      <c r="AC19" s="2597"/>
      <c r="AD19" s="2572"/>
      <c r="AE19" s="2572"/>
      <c r="AF19" s="2526"/>
      <c r="AG19" s="2549"/>
      <c r="AH19" s="2534"/>
      <c r="AI19" s="2533"/>
    </row>
    <row r="20" spans="1:35" s="757" customFormat="1" ht="18.95" customHeight="1">
      <c r="A20" s="466" t="s">
        <v>24</v>
      </c>
      <c r="B20" s="447"/>
      <c r="C20" s="447"/>
      <c r="D20" s="447" t="s">
        <v>16</v>
      </c>
      <c r="E20" s="447"/>
      <c r="F20" s="447"/>
      <c r="G20" s="447"/>
      <c r="H20" s="1909"/>
      <c r="I20" s="1909"/>
      <c r="J20" s="1909"/>
      <c r="K20" s="447"/>
      <c r="L20" s="1919"/>
      <c r="M20" s="1909"/>
      <c r="N20" s="1909"/>
      <c r="O20" s="1909"/>
      <c r="P20" s="1909"/>
      <c r="Q20" s="1909"/>
      <c r="R20" s="1909"/>
      <c r="S20" s="1909"/>
      <c r="T20" s="1909"/>
      <c r="U20" s="1909"/>
      <c r="V20" s="1909"/>
      <c r="W20" s="1909"/>
      <c r="X20" s="1909"/>
      <c r="Y20" s="1910"/>
      <c r="Z20" s="1911"/>
      <c r="AA20" s="2572"/>
      <c r="AB20" s="2596"/>
      <c r="AC20" s="2597"/>
      <c r="AD20" s="2572"/>
      <c r="AE20" s="2572"/>
      <c r="AF20" s="2526"/>
      <c r="AG20" s="2549"/>
      <c r="AH20" s="2534"/>
      <c r="AI20" s="2533"/>
    </row>
    <row r="21" spans="1:35" s="757" customFormat="1" ht="18.95" customHeight="1">
      <c r="A21" s="356" t="s">
        <v>160</v>
      </c>
      <c r="B21" s="449"/>
      <c r="C21" s="447"/>
      <c r="D21" s="447"/>
      <c r="E21" s="447"/>
      <c r="F21" s="447"/>
      <c r="G21" s="447"/>
      <c r="H21" s="1909"/>
      <c r="I21" s="1909"/>
      <c r="J21" s="1909"/>
      <c r="K21" s="447"/>
      <c r="L21" s="1919"/>
      <c r="M21" s="1909"/>
      <c r="N21" s="1909"/>
      <c r="O21" s="1909"/>
      <c r="P21" s="1909"/>
      <c r="Q21" s="1909"/>
      <c r="R21" s="1909"/>
      <c r="S21" s="1909"/>
      <c r="T21" s="1909"/>
      <c r="U21" s="1909"/>
      <c r="V21" s="1909"/>
      <c r="W21" s="1909"/>
      <c r="X21" s="1909"/>
      <c r="Y21" s="1910"/>
      <c r="Z21" s="1911"/>
      <c r="AA21" s="2573"/>
      <c r="AB21" s="2603"/>
      <c r="AC21" s="2604"/>
      <c r="AD21" s="2573"/>
      <c r="AE21" s="2573"/>
      <c r="AF21" s="2527"/>
      <c r="AG21" s="2549"/>
      <c r="AH21" s="2534"/>
      <c r="AI21" s="2533"/>
    </row>
    <row r="22" spans="1:35" s="757" customFormat="1" ht="18.95" customHeight="1">
      <c r="A22" s="356" t="s">
        <v>232</v>
      </c>
      <c r="B22" s="449">
        <v>0</v>
      </c>
      <c r="C22" s="447"/>
      <c r="D22" s="449">
        <v>0</v>
      </c>
      <c r="E22" s="447"/>
      <c r="F22" s="449">
        <v>0</v>
      </c>
      <c r="G22" s="447"/>
      <c r="H22" s="709">
        <v>0.1</v>
      </c>
      <c r="I22" s="1909"/>
      <c r="J22" s="449">
        <v>0</v>
      </c>
      <c r="K22" s="447"/>
      <c r="L22" s="449">
        <v>0</v>
      </c>
      <c r="M22" s="1909"/>
      <c r="N22" s="449">
        <v>0</v>
      </c>
      <c r="O22" s="1909"/>
      <c r="P22" s="449"/>
      <c r="Q22" s="1909"/>
      <c r="R22" s="449"/>
      <c r="S22" s="1909"/>
      <c r="T22" s="449"/>
      <c r="U22" s="1909"/>
      <c r="V22" s="449"/>
      <c r="W22" s="1909"/>
      <c r="X22" s="709"/>
      <c r="Y22" s="1910"/>
      <c r="Z22" s="1911"/>
      <c r="AA22" s="2575">
        <f>ROUND(SUM(B22:X22),1)</f>
        <v>0.1</v>
      </c>
      <c r="AB22" s="2596"/>
      <c r="AC22" s="2597"/>
      <c r="AD22" s="2574">
        <v>0.1</v>
      </c>
      <c r="AE22" s="2574"/>
      <c r="AF22" s="2527"/>
      <c r="AG22" s="2583">
        <f>ROUND(SUM(AA22-AD22),1)</f>
        <v>0</v>
      </c>
      <c r="AH22" s="2534"/>
      <c r="AI22" s="2555">
        <f>ROUND(IF(AG22=0,0,AG22/(AD22)),3)</f>
        <v>0</v>
      </c>
    </row>
    <row r="23" spans="1:35" s="757" customFormat="1" ht="18.95" customHeight="1">
      <c r="A23" s="1906" t="s">
        <v>179</v>
      </c>
      <c r="B23" s="449">
        <v>0</v>
      </c>
      <c r="C23" s="447"/>
      <c r="D23" s="449">
        <v>0</v>
      </c>
      <c r="E23" s="447"/>
      <c r="F23" s="449">
        <v>0</v>
      </c>
      <c r="G23" s="447"/>
      <c r="H23" s="449">
        <v>0</v>
      </c>
      <c r="I23" s="1909"/>
      <c r="J23" s="449">
        <v>0</v>
      </c>
      <c r="K23" s="447"/>
      <c r="L23" s="449">
        <v>0</v>
      </c>
      <c r="M23" s="1909"/>
      <c r="N23" s="449">
        <v>0</v>
      </c>
      <c r="O23" s="449"/>
      <c r="P23" s="449"/>
      <c r="Q23" s="1909"/>
      <c r="R23" s="449"/>
      <c r="S23" s="1909"/>
      <c r="T23" s="449"/>
      <c r="U23" s="1909"/>
      <c r="V23" s="449"/>
      <c r="W23" s="1909"/>
      <c r="X23" s="449"/>
      <c r="Y23" s="1910"/>
      <c r="Z23" s="1911"/>
      <c r="AA23" s="2575">
        <f>ROUND(SUM(B23:X23),1)</f>
        <v>0</v>
      </c>
      <c r="AB23" s="2596"/>
      <c r="AC23" s="2597"/>
      <c r="AD23" s="2573">
        <v>0</v>
      </c>
      <c r="AE23" s="2573"/>
      <c r="AF23" s="2527"/>
      <c r="AG23" s="2583">
        <f>ROUND(SUM(AA23-AD23),1)</f>
        <v>0</v>
      </c>
      <c r="AH23" s="2554"/>
      <c r="AI23" s="2555">
        <f>ROUND(IF(AG23=0,0,AG23/(AD23)),3)</f>
        <v>0</v>
      </c>
    </row>
    <row r="24" spans="1:35" s="757" customFormat="1" ht="18.95" customHeight="1">
      <c r="A24" s="356" t="s">
        <v>163</v>
      </c>
      <c r="B24" s="1923">
        <v>0</v>
      </c>
      <c r="C24" s="447"/>
      <c r="D24" s="1923">
        <v>0</v>
      </c>
      <c r="E24" s="447"/>
      <c r="F24" s="1923">
        <v>0</v>
      </c>
      <c r="G24" s="447"/>
      <c r="H24" s="1923">
        <v>0</v>
      </c>
      <c r="I24" s="1909"/>
      <c r="J24" s="1923">
        <v>0</v>
      </c>
      <c r="K24" s="447"/>
      <c r="L24" s="1923">
        <v>0.1</v>
      </c>
      <c r="M24" s="1909"/>
      <c r="N24" s="713">
        <v>0</v>
      </c>
      <c r="O24" s="1909"/>
      <c r="P24" s="1923"/>
      <c r="Q24" s="1909"/>
      <c r="R24" s="1923"/>
      <c r="S24" s="1909"/>
      <c r="T24" s="713"/>
      <c r="U24" s="1909"/>
      <c r="V24" s="1923"/>
      <c r="W24" s="1909"/>
      <c r="X24" s="1923"/>
      <c r="Y24" s="1910"/>
      <c r="Z24" s="1911"/>
      <c r="AA24" s="2595">
        <f>ROUND(SUM(B24:X24),1)</f>
        <v>0.1</v>
      </c>
      <c r="AB24" s="2596"/>
      <c r="AC24" s="2597"/>
      <c r="AD24" s="2595">
        <v>0.1</v>
      </c>
      <c r="AE24" s="2575"/>
      <c r="AF24" s="2527"/>
      <c r="AG24" s="454">
        <f>ROUND(SUM(AA24-AD24),1)</f>
        <v>0</v>
      </c>
      <c r="AH24" s="2534"/>
      <c r="AI24" s="2555">
        <f>ROUND(IF(AD24=0,1,AG24/(AD24)),3)</f>
        <v>0</v>
      </c>
    </row>
    <row r="25" spans="1:35" s="757" customFormat="1" ht="22.5" customHeight="1">
      <c r="A25" s="466" t="s">
        <v>164</v>
      </c>
      <c r="B25" s="1945">
        <f>ROUND(SUM(B22:B24),1)</f>
        <v>0</v>
      </c>
      <c r="C25" s="744"/>
      <c r="D25" s="1945">
        <f>ROUND(SUM(D22:D24),1)</f>
        <v>0</v>
      </c>
      <c r="E25" s="744"/>
      <c r="F25" s="1945">
        <f>ROUND(SUM(F22:F24),1)</f>
        <v>0</v>
      </c>
      <c r="G25" s="744"/>
      <c r="H25" s="1945">
        <f>ROUND(SUM(H22:H24),1)</f>
        <v>0.1</v>
      </c>
      <c r="I25" s="1914"/>
      <c r="J25" s="1945">
        <f>ROUND(SUM(J22:J24),1)</f>
        <v>0</v>
      </c>
      <c r="K25" s="744"/>
      <c r="L25" s="1945">
        <f>ROUND(SUM(L22:L24),1)</f>
        <v>0.1</v>
      </c>
      <c r="M25" s="1914"/>
      <c r="N25" s="1945">
        <f>ROUND(SUM(N22:N24),1)</f>
        <v>0</v>
      </c>
      <c r="O25" s="1931"/>
      <c r="P25" s="1945">
        <f>ROUND(SUM(P22:P24),1)</f>
        <v>0</v>
      </c>
      <c r="Q25" s="1914"/>
      <c r="R25" s="1945">
        <f>ROUND(SUM(R22:R24),1)</f>
        <v>0</v>
      </c>
      <c r="S25" s="1914"/>
      <c r="T25" s="1945">
        <f>ROUND(SUM(T22:T24),1)</f>
        <v>0</v>
      </c>
      <c r="U25" s="1931"/>
      <c r="V25" s="1945">
        <f>ROUND(SUM(V22:V24),1)</f>
        <v>0</v>
      </c>
      <c r="W25" s="1931"/>
      <c r="X25" s="1945">
        <f>ROUND(SUM(X22:X24),1)</f>
        <v>0</v>
      </c>
      <c r="Y25" s="1915"/>
      <c r="Z25" s="1916"/>
      <c r="AA25" s="2576">
        <f>ROUND(SUM(AA22:AA24),1)</f>
        <v>0.2</v>
      </c>
      <c r="AB25" s="2599"/>
      <c r="AC25" s="2600"/>
      <c r="AD25" s="2576">
        <f>ROUND(SUM(AD22:AD24),1)</f>
        <v>0.2</v>
      </c>
      <c r="AE25" s="2576"/>
      <c r="AF25" s="2527"/>
      <c r="AG25" s="2580">
        <f>ROUND(SUM(AG22:AG24),1)</f>
        <v>0</v>
      </c>
      <c r="AH25" s="2551"/>
      <c r="AI25" s="2582">
        <f>ROUND(IF(AG25=0,0,AG25/(AD25)),3)</f>
        <v>0</v>
      </c>
    </row>
    <row r="26" spans="1:35" s="757" customFormat="1" ht="18.95" customHeight="1">
      <c r="A26" s="356"/>
      <c r="B26" s="743"/>
      <c r="C26" s="447"/>
      <c r="D26" s="743" t="s">
        <v>16</v>
      </c>
      <c r="E26" s="447"/>
      <c r="F26" s="743"/>
      <c r="G26" s="447"/>
      <c r="H26" s="1917"/>
      <c r="I26" s="1909"/>
      <c r="J26" s="1917"/>
      <c r="K26" s="447"/>
      <c r="L26" s="1917"/>
      <c r="M26" s="1909"/>
      <c r="N26" s="1917"/>
      <c r="O26" s="1909"/>
      <c r="P26" s="1917"/>
      <c r="Q26" s="1909"/>
      <c r="R26" s="1917"/>
      <c r="S26" s="1909"/>
      <c r="T26" s="1917"/>
      <c r="U26" s="1909"/>
      <c r="V26" s="1917"/>
      <c r="W26" s="1909"/>
      <c r="X26" s="1917"/>
      <c r="Y26" s="1910"/>
      <c r="Z26" s="1911"/>
      <c r="AA26" s="2601"/>
      <c r="AB26" s="2596"/>
      <c r="AC26" s="2602"/>
      <c r="AD26" s="2601"/>
      <c r="AE26" s="2549"/>
      <c r="AF26" s="2526"/>
      <c r="AG26" s="2549"/>
      <c r="AH26" s="2534"/>
      <c r="AI26" s="2533"/>
    </row>
    <row r="27" spans="1:35" s="757" customFormat="1" ht="18.95" customHeight="1">
      <c r="A27" s="466" t="s">
        <v>165</v>
      </c>
      <c r="B27" s="447"/>
      <c r="C27" s="447"/>
      <c r="D27" s="454" t="s">
        <v>16</v>
      </c>
      <c r="E27" s="447"/>
      <c r="F27" s="447"/>
      <c r="G27" s="447"/>
      <c r="H27" s="1909"/>
      <c r="I27" s="1909"/>
      <c r="J27" s="1909"/>
      <c r="K27" s="447"/>
      <c r="L27" s="1909"/>
      <c r="M27" s="1909"/>
      <c r="N27" s="1909"/>
      <c r="O27" s="1909"/>
      <c r="P27" s="1909"/>
      <c r="Q27" s="1909"/>
      <c r="R27" s="1909"/>
      <c r="S27" s="1909"/>
      <c r="T27" s="1909"/>
      <c r="U27" s="1909"/>
      <c r="V27" s="1909"/>
      <c r="W27" s="1909"/>
      <c r="X27" s="1909"/>
      <c r="Y27" s="1910"/>
      <c r="Z27" s="1911"/>
      <c r="AA27" s="2572"/>
      <c r="AB27" s="2596"/>
      <c r="AC27" s="2597"/>
      <c r="AD27" s="2572"/>
      <c r="AE27" s="2572"/>
      <c r="AF27" s="2526"/>
      <c r="AG27" s="2549"/>
      <c r="AH27" s="2534"/>
      <c r="AI27" s="2533"/>
    </row>
    <row r="28" spans="1:35" s="757" customFormat="1" ht="18.75" customHeight="1">
      <c r="A28" s="466" t="s">
        <v>46</v>
      </c>
      <c r="B28" s="1926">
        <f>ROUND(B17-B25,1)</f>
        <v>0.1</v>
      </c>
      <c r="C28" s="744"/>
      <c r="D28" s="1926">
        <f>ROUND(D17-D25,1)</f>
        <v>0.1</v>
      </c>
      <c r="E28" s="1946"/>
      <c r="F28" s="1926">
        <f>ROUND(F17-F25,1)</f>
        <v>0.2</v>
      </c>
      <c r="G28" s="1946"/>
      <c r="H28" s="1926">
        <f>ROUND(H17-H25,1)</f>
        <v>0</v>
      </c>
      <c r="I28" s="1947"/>
      <c r="J28" s="1926">
        <f>ROUND(J17-J25,1)</f>
        <v>0</v>
      </c>
      <c r="K28" s="1946"/>
      <c r="L28" s="1926">
        <f>ROUND(L17-L25,1)</f>
        <v>0</v>
      </c>
      <c r="M28" s="1948"/>
      <c r="N28" s="1926">
        <f>ROUND(N17-N25,1)</f>
        <v>0.1</v>
      </c>
      <c r="O28" s="1948"/>
      <c r="P28" s="1926">
        <f>ROUND(P17-P25,1)</f>
        <v>0</v>
      </c>
      <c r="Q28" s="1948"/>
      <c r="R28" s="1926">
        <f>ROUND(R17-R25,1)</f>
        <v>0</v>
      </c>
      <c r="S28" s="1948"/>
      <c r="T28" s="1926">
        <f>ROUND(T17-T25,1)</f>
        <v>0</v>
      </c>
      <c r="U28" s="1948"/>
      <c r="V28" s="1926">
        <f>ROUND(V17-V25,1)</f>
        <v>0</v>
      </c>
      <c r="W28" s="1948"/>
      <c r="X28" s="1926">
        <f>ROUND(X17-X25,1)</f>
        <v>0</v>
      </c>
      <c r="Y28" s="1915"/>
      <c r="Z28" s="1916"/>
      <c r="AA28" s="2605">
        <f>ROUND(AA17-AA25,1)</f>
        <v>0.5</v>
      </c>
      <c r="AB28" s="2599"/>
      <c r="AC28" s="2606"/>
      <c r="AD28" s="2605">
        <f>ROUND(AD17-AD25,1)</f>
        <v>0.5</v>
      </c>
      <c r="AE28" s="2577"/>
      <c r="AF28" s="2527"/>
      <c r="AG28" s="2550">
        <f>ROUND(SUM(AG17-AG25),1)</f>
        <v>0</v>
      </c>
      <c r="AH28" s="2551"/>
      <c r="AI28" s="2552">
        <f>ROUND(IF(AG28=0,0,AG28/(AD28)),3)</f>
        <v>0</v>
      </c>
    </row>
    <row r="29" spans="1:35" s="757" customFormat="1" ht="18.95" customHeight="1">
      <c r="A29" s="356"/>
      <c r="B29" s="454"/>
      <c r="C29" s="447"/>
      <c r="D29" s="454" t="s">
        <v>16</v>
      </c>
      <c r="E29" s="447"/>
      <c r="F29" s="454"/>
      <c r="G29" s="447"/>
      <c r="H29" s="1908"/>
      <c r="I29" s="1909"/>
      <c r="J29" s="1908"/>
      <c r="K29" s="447"/>
      <c r="L29" s="1908"/>
      <c r="M29" s="1909"/>
      <c r="N29" s="1917"/>
      <c r="O29" s="1909"/>
      <c r="P29" s="1908"/>
      <c r="Q29" s="1909"/>
      <c r="R29" s="1917"/>
      <c r="S29" s="1909"/>
      <c r="T29" s="1908"/>
      <c r="U29" s="1909"/>
      <c r="V29" s="1908"/>
      <c r="W29" s="1909"/>
      <c r="X29" s="1917"/>
      <c r="Y29" s="1910"/>
      <c r="Z29" s="1911"/>
      <c r="AA29" s="2549"/>
      <c r="AB29" s="2596"/>
      <c r="AC29" s="2602"/>
      <c r="AD29" s="2549"/>
      <c r="AE29" s="2549"/>
      <c r="AF29" s="2528"/>
      <c r="AG29" s="2549"/>
      <c r="AH29" s="2534"/>
      <c r="AI29" s="2533"/>
    </row>
    <row r="30" spans="1:35" s="757" customFormat="1" ht="18.95" customHeight="1">
      <c r="A30" s="466" t="s">
        <v>47</v>
      </c>
      <c r="B30" s="447"/>
      <c r="C30" s="447"/>
      <c r="D30" s="447"/>
      <c r="E30" s="447"/>
      <c r="F30" s="447"/>
      <c r="G30" s="447"/>
      <c r="H30" s="1909"/>
      <c r="I30" s="1909"/>
      <c r="J30" s="1909"/>
      <c r="K30" s="447"/>
      <c r="L30" s="1909"/>
      <c r="M30" s="1909"/>
      <c r="N30" s="1909"/>
      <c r="O30" s="1909"/>
      <c r="P30" s="1909"/>
      <c r="Q30" s="1909"/>
      <c r="R30" s="1909"/>
      <c r="S30" s="1909"/>
      <c r="T30" s="1909"/>
      <c r="U30" s="1909"/>
      <c r="V30" s="1909"/>
      <c r="W30" s="1909"/>
      <c r="X30" s="1909"/>
      <c r="Y30" s="1910"/>
      <c r="Z30" s="1911"/>
      <c r="AA30" s="2572"/>
      <c r="AB30" s="2596"/>
      <c r="AC30" s="2597"/>
      <c r="AD30" s="2572"/>
      <c r="AE30" s="2572"/>
      <c r="AF30" s="2528"/>
      <c r="AG30" s="2549"/>
      <c r="AH30" s="2534"/>
      <c r="AI30" s="2533"/>
    </row>
    <row r="31" spans="1:35" s="757" customFormat="1" ht="18.95" customHeight="1">
      <c r="A31" s="356" t="s">
        <v>191</v>
      </c>
      <c r="B31" s="449">
        <v>0</v>
      </c>
      <c r="C31" s="447"/>
      <c r="D31" s="449">
        <v>0</v>
      </c>
      <c r="E31" s="447"/>
      <c r="F31" s="449">
        <v>0</v>
      </c>
      <c r="G31" s="447"/>
      <c r="H31" s="449">
        <v>0</v>
      </c>
      <c r="I31" s="1909"/>
      <c r="J31" s="449">
        <v>0</v>
      </c>
      <c r="K31" s="447"/>
      <c r="L31" s="449">
        <v>0</v>
      </c>
      <c r="M31" s="1909"/>
      <c r="N31" s="449">
        <v>0</v>
      </c>
      <c r="O31" s="1909"/>
      <c r="P31" s="449"/>
      <c r="Q31" s="1909"/>
      <c r="R31" s="449"/>
      <c r="S31" s="1909"/>
      <c r="T31" s="449"/>
      <c r="U31" s="1909"/>
      <c r="V31" s="449"/>
      <c r="W31" s="1909"/>
      <c r="X31" s="449"/>
      <c r="Y31" s="1910"/>
      <c r="Z31" s="1911"/>
      <c r="AA31" s="2575">
        <f>ROUND(SUM(B31:X31),1)</f>
        <v>0</v>
      </c>
      <c r="AB31" s="2596"/>
      <c r="AC31" s="2597"/>
      <c r="AD31" s="2573">
        <v>0</v>
      </c>
      <c r="AE31" s="2573"/>
      <c r="AF31" s="2529"/>
      <c r="AG31" s="2583">
        <f>ROUND(SUM(AA31-AD31),1)</f>
        <v>0</v>
      </c>
      <c r="AH31" s="2554"/>
      <c r="AI31" s="2555">
        <f>ROUND(IF(AG31=0,0,AG31/(AD31)),3)</f>
        <v>0</v>
      </c>
    </row>
    <row r="32" spans="1:35" s="757" customFormat="1" ht="18.95" customHeight="1">
      <c r="A32" s="356" t="s">
        <v>192</v>
      </c>
      <c r="B32" s="449">
        <v>0</v>
      </c>
      <c r="C32" s="447"/>
      <c r="D32" s="449">
        <v>0</v>
      </c>
      <c r="E32" s="447"/>
      <c r="F32" s="449">
        <v>0</v>
      </c>
      <c r="G32" s="447"/>
      <c r="H32" s="449">
        <v>0</v>
      </c>
      <c r="I32" s="1909"/>
      <c r="J32" s="449">
        <v>0</v>
      </c>
      <c r="K32" s="447"/>
      <c r="L32" s="449">
        <v>0</v>
      </c>
      <c r="M32" s="1908"/>
      <c r="N32" s="449">
        <v>0</v>
      </c>
      <c r="O32" s="1908"/>
      <c r="P32" s="449"/>
      <c r="Q32" s="1908"/>
      <c r="R32" s="449"/>
      <c r="S32" s="1908"/>
      <c r="T32" s="449"/>
      <c r="U32" s="1908"/>
      <c r="V32" s="449"/>
      <c r="W32" s="1908"/>
      <c r="X32" s="449"/>
      <c r="Y32" s="1910"/>
      <c r="Z32" s="1911"/>
      <c r="AA32" s="2575">
        <f>ROUND(SUM(B32:X32),1)</f>
        <v>0</v>
      </c>
      <c r="AB32" s="2607"/>
      <c r="AC32" s="2608"/>
      <c r="AD32" s="2573">
        <v>0</v>
      </c>
      <c r="AE32" s="2573"/>
      <c r="AF32" s="2528"/>
      <c r="AG32" s="2583">
        <f>ROUND(SUM(AA32-AD32),1)</f>
        <v>0</v>
      </c>
      <c r="AH32" s="2554"/>
      <c r="AI32" s="2555">
        <f>ROUND(IF(AG32=0,0,AG32/(AD32)),3)</f>
        <v>0</v>
      </c>
    </row>
    <row r="33" spans="1:35" s="757" customFormat="1" ht="22.5" customHeight="1">
      <c r="A33" s="466" t="s">
        <v>220</v>
      </c>
      <c r="B33" s="1949">
        <f>ROUND(SUM(B31:B32),1)</f>
        <v>0</v>
      </c>
      <c r="C33" s="744"/>
      <c r="D33" s="1949">
        <f>ROUND(SUM(D31:D32),1)</f>
        <v>0</v>
      </c>
      <c r="E33" s="744"/>
      <c r="F33" s="1949">
        <f>ROUND(SUM(F31:F32),1)</f>
        <v>0</v>
      </c>
      <c r="G33" s="744"/>
      <c r="H33" s="1949">
        <f>ROUND(SUM(H31:H32),1)</f>
        <v>0</v>
      </c>
      <c r="I33" s="1914"/>
      <c r="J33" s="1949">
        <f>ROUND(SUM(J31:J32),1)</f>
        <v>0</v>
      </c>
      <c r="K33" s="744"/>
      <c r="L33" s="1949">
        <f>ROUND(SUM(L31:L32),1)</f>
        <v>0</v>
      </c>
      <c r="M33" s="1914"/>
      <c r="N33" s="1949">
        <f>ROUND(SUM(N31:N32),1)</f>
        <v>0</v>
      </c>
      <c r="O33" s="1914"/>
      <c r="P33" s="1949">
        <f>ROUND(SUM(P31:P32),1)</f>
        <v>0</v>
      </c>
      <c r="Q33" s="1950"/>
      <c r="R33" s="1949">
        <f>ROUND(SUM(R31:R32),1)</f>
        <v>0</v>
      </c>
      <c r="S33" s="1914"/>
      <c r="T33" s="1949">
        <f>ROUND(SUM(T31:T32),1)</f>
        <v>0</v>
      </c>
      <c r="U33" s="1914"/>
      <c r="V33" s="1949">
        <f>ROUND(SUM(V31:V32),1)</f>
        <v>0</v>
      </c>
      <c r="W33" s="1914"/>
      <c r="X33" s="1949">
        <f>ROUND(SUM(X31:X32),1)</f>
        <v>0</v>
      </c>
      <c r="Y33" s="1915"/>
      <c r="Z33" s="1916"/>
      <c r="AA33" s="2609">
        <f>ROUND(SUM(AA31:AA32),1)</f>
        <v>0</v>
      </c>
      <c r="AB33" s="2610"/>
      <c r="AC33" s="2611"/>
      <c r="AD33" s="2609">
        <f>ROUND(SUM(AD31:AD32),1)</f>
        <v>0</v>
      </c>
      <c r="AE33" s="2578"/>
      <c r="AF33" s="2529"/>
      <c r="AG33" s="2580">
        <f>ROUND(SUM(AG31-AG32),1)</f>
        <v>0</v>
      </c>
      <c r="AH33" s="2561"/>
      <c r="AI33" s="2582">
        <f>ROUND(IF(AG33=0,0,AG33/(AD33)),3)</f>
        <v>0</v>
      </c>
    </row>
    <row r="34" spans="1:35" s="757" customFormat="1" ht="18.95" customHeight="1">
      <c r="A34" s="356"/>
      <c r="B34" s="743"/>
      <c r="C34" s="447"/>
      <c r="D34" s="743" t="s">
        <v>16</v>
      </c>
      <c r="E34" s="447"/>
      <c r="F34" s="743"/>
      <c r="G34" s="447"/>
      <c r="H34" s="1917"/>
      <c r="I34" s="1909"/>
      <c r="J34" s="1917"/>
      <c r="K34" s="447"/>
      <c r="L34" s="1917"/>
      <c r="M34" s="1909"/>
      <c r="N34" s="1917"/>
      <c r="O34" s="1909"/>
      <c r="P34" s="1917"/>
      <c r="Q34" s="1909"/>
      <c r="R34" s="1917"/>
      <c r="S34" s="1909"/>
      <c r="T34" s="1917"/>
      <c r="U34" s="1909"/>
      <c r="V34" s="1917"/>
      <c r="W34" s="1909"/>
      <c r="X34" s="1917"/>
      <c r="Y34" s="1910"/>
      <c r="Z34" s="1911"/>
      <c r="AA34" s="2601"/>
      <c r="AB34" s="2596"/>
      <c r="AC34" s="2602"/>
      <c r="AD34" s="2601"/>
      <c r="AE34" s="2549"/>
      <c r="AF34" s="2526"/>
      <c r="AG34" s="2549"/>
      <c r="AH34" s="2534"/>
      <c r="AI34" s="2533"/>
    </row>
    <row r="35" spans="1:35" s="757" customFormat="1" ht="18.95" customHeight="1">
      <c r="A35" s="466" t="s">
        <v>174</v>
      </c>
      <c r="B35" s="447"/>
      <c r="C35" s="447"/>
      <c r="D35" s="447" t="s">
        <v>16</v>
      </c>
      <c r="E35" s="447"/>
      <c r="F35" s="447"/>
      <c r="G35" s="447"/>
      <c r="H35" s="1909"/>
      <c r="I35" s="1909"/>
      <c r="J35" s="1909"/>
      <c r="K35" s="447"/>
      <c r="L35" s="1909"/>
      <c r="M35" s="1909"/>
      <c r="N35" s="1909"/>
      <c r="O35" s="1909"/>
      <c r="P35" s="1909"/>
      <c r="Q35" s="1909"/>
      <c r="R35" s="1909"/>
      <c r="S35" s="1909"/>
      <c r="T35" s="1909"/>
      <c r="U35" s="1909"/>
      <c r="V35" s="1909"/>
      <c r="W35" s="1909"/>
      <c r="X35" s="1909"/>
      <c r="Y35" s="1910"/>
      <c r="Z35" s="1911"/>
      <c r="AA35" s="2572"/>
      <c r="AB35" s="2596"/>
      <c r="AC35" s="2597"/>
      <c r="AD35" s="2572"/>
      <c r="AE35" s="2572"/>
      <c r="AF35" s="2526"/>
      <c r="AG35" s="2549"/>
      <c r="AH35" s="2534"/>
      <c r="AI35" s="2533"/>
    </row>
    <row r="36" spans="1:35" s="757" customFormat="1" ht="18.95" customHeight="1">
      <c r="A36" s="466" t="s">
        <v>240</v>
      </c>
      <c r="B36" s="447"/>
      <c r="C36" s="447"/>
      <c r="D36" s="447"/>
      <c r="E36" s="447"/>
      <c r="F36" s="447"/>
      <c r="G36" s="447"/>
      <c r="H36" s="1909"/>
      <c r="I36" s="1909"/>
      <c r="J36" s="1909"/>
      <c r="K36" s="447"/>
      <c r="L36" s="1909"/>
      <c r="M36" s="1909"/>
      <c r="N36" s="1909"/>
      <c r="O36" s="1909"/>
      <c r="P36" s="1909"/>
      <c r="Q36" s="1909"/>
      <c r="R36" s="1909"/>
      <c r="S36" s="1909"/>
      <c r="T36" s="1909"/>
      <c r="U36" s="1909"/>
      <c r="V36" s="1908"/>
      <c r="W36" s="1909"/>
      <c r="X36" s="1909"/>
      <c r="Y36" s="1910"/>
      <c r="Z36" s="1911"/>
      <c r="AA36" s="2572"/>
      <c r="AB36" s="2596"/>
      <c r="AC36" s="2597"/>
      <c r="AD36" s="2579"/>
      <c r="AE36" s="2579"/>
      <c r="AF36" s="2530"/>
      <c r="AG36" s="2549"/>
      <c r="AH36" s="2534"/>
      <c r="AI36" s="2533"/>
    </row>
    <row r="37" spans="1:35" s="759" customFormat="1" ht="18.95" customHeight="1">
      <c r="A37" s="466" t="s">
        <v>176</v>
      </c>
      <c r="B37" s="1924">
        <f>ROUND(B28+B33,1)</f>
        <v>0.1</v>
      </c>
      <c r="C37" s="744"/>
      <c r="D37" s="1924">
        <f>ROUND(D28+D33,1)</f>
        <v>0.1</v>
      </c>
      <c r="E37" s="750"/>
      <c r="F37" s="1924">
        <f>ROUND(F28+F33,1)</f>
        <v>0.2</v>
      </c>
      <c r="G37" s="750"/>
      <c r="H37" s="1924">
        <f>ROUND(H28+H33,1)</f>
        <v>0</v>
      </c>
      <c r="I37" s="1931"/>
      <c r="J37" s="1924">
        <f>ROUND(J28+J33,1)</f>
        <v>0</v>
      </c>
      <c r="K37" s="750"/>
      <c r="L37" s="1924">
        <f>ROUND(L28+L33,1)</f>
        <v>0</v>
      </c>
      <c r="M37" s="1934"/>
      <c r="N37" s="1924">
        <f>ROUND(N28+N33,1)</f>
        <v>0.1</v>
      </c>
      <c r="O37" s="1934"/>
      <c r="P37" s="1924">
        <f>ROUND(P28+P33,1)</f>
        <v>0</v>
      </c>
      <c r="Q37" s="1934"/>
      <c r="R37" s="1924">
        <f>ROUND(R28+R33,1)</f>
        <v>0</v>
      </c>
      <c r="S37" s="1931"/>
      <c r="T37" s="1924">
        <f>ROUND(T28+T33,1)</f>
        <v>0</v>
      </c>
      <c r="U37" s="1931"/>
      <c r="V37" s="1924">
        <f>ROUND(V28+V33,1)</f>
        <v>0</v>
      </c>
      <c r="W37" s="1931"/>
      <c r="X37" s="1924">
        <f>ROUND(X28+X33,1)</f>
        <v>0</v>
      </c>
      <c r="Y37" s="1915"/>
      <c r="Z37" s="1916"/>
      <c r="AA37" s="2577">
        <f>ROUND(AA28+AA33,1)</f>
        <v>0.5</v>
      </c>
      <c r="AB37" s="2583"/>
      <c r="AC37" s="2612"/>
      <c r="AD37" s="2577">
        <f>ROUND(AD28+AD33,1)</f>
        <v>0.5</v>
      </c>
      <c r="AE37" s="2577"/>
      <c r="AF37" s="2531"/>
      <c r="AG37" s="2583">
        <f>ROUND(SUM(AG28+AG33),1)</f>
        <v>0</v>
      </c>
      <c r="AH37" s="2523"/>
      <c r="AI37" s="2555">
        <f>ROUND(IF(AG37=0,0,AG37/(AD37)),3)</f>
        <v>0</v>
      </c>
    </row>
    <row r="38" spans="1:35" s="757" customFormat="1" ht="22.5" customHeight="1" thickBot="1">
      <c r="A38" s="466" t="s">
        <v>148</v>
      </c>
      <c r="B38" s="1936">
        <f>ROUND(SUM(B13,B37),1)</f>
        <v>11</v>
      </c>
      <c r="C38" s="732"/>
      <c r="D38" s="1936">
        <f>ROUND(SUM(D13,D37),1)</f>
        <v>11.1</v>
      </c>
      <c r="E38" s="732"/>
      <c r="F38" s="1936">
        <f>ROUND(SUM(F13,F37),1)</f>
        <v>11.3</v>
      </c>
      <c r="G38" s="732"/>
      <c r="H38" s="1936">
        <f>ROUND(SUM(H13,H37),1)</f>
        <v>11.3</v>
      </c>
      <c r="I38" s="1937"/>
      <c r="J38" s="1936">
        <f>ROUND(SUM(J13,J37),1)</f>
        <v>11.3</v>
      </c>
      <c r="K38" s="732"/>
      <c r="L38" s="1936">
        <f>ROUND(SUM(L13,L37),1)</f>
        <v>11.3</v>
      </c>
      <c r="M38" s="735"/>
      <c r="N38" s="1936">
        <f>ROUND(SUM(N13,N37),1)</f>
        <v>11.4</v>
      </c>
      <c r="O38" s="735"/>
      <c r="P38" s="1936">
        <f>ROUND(SUM(P13,P37),1)</f>
        <v>0</v>
      </c>
      <c r="Q38" s="735"/>
      <c r="R38" s="1936">
        <f>ROUND(SUM(R13,R37),1)</f>
        <v>0</v>
      </c>
      <c r="S38" s="1937"/>
      <c r="T38" s="1936">
        <f>ROUND(SUM(T13,T37),1)</f>
        <v>0</v>
      </c>
      <c r="U38" s="1937"/>
      <c r="V38" s="1936">
        <f>ROUND(SUM(V13,V37),1)</f>
        <v>0</v>
      </c>
      <c r="W38" s="1937"/>
      <c r="X38" s="1936">
        <f>ROUND(SUM(X13,X37),1)</f>
        <v>0</v>
      </c>
      <c r="Y38" s="1898"/>
      <c r="Z38" s="1899"/>
      <c r="AA38" s="2613">
        <f>ROUND(SUM(AA13,AA37),1)</f>
        <v>11.4</v>
      </c>
      <c r="AB38" s="2541"/>
      <c r="AC38" s="2614"/>
      <c r="AD38" s="2584">
        <f>ROUND(SUM(AD13,AD37),1)</f>
        <v>10.8</v>
      </c>
      <c r="AE38" s="2541"/>
      <c r="AF38" s="2532"/>
      <c r="AG38" s="2584">
        <f>ROUND(SUM(AA38-AD38),1)</f>
        <v>0.6</v>
      </c>
      <c r="AH38" s="2560"/>
      <c r="AI38" s="2585">
        <f>ROUND(IF(AG38=0,0,AG38/(AD38)),3)</f>
        <v>5.6000000000000001E-2</v>
      </c>
    </row>
    <row r="39" spans="1:35" s="757" customFormat="1" ht="18.95" customHeight="1" thickTop="1">
      <c r="A39" s="356" t="s">
        <v>16</v>
      </c>
      <c r="B39" s="1939"/>
      <c r="C39" s="1940"/>
      <c r="D39" s="1939"/>
      <c r="E39" s="1940"/>
      <c r="F39" s="1939"/>
      <c r="G39" s="1940"/>
      <c r="H39" s="1939"/>
      <c r="I39" s="1940"/>
      <c r="J39" s="1939"/>
      <c r="K39" s="1940"/>
      <c r="L39" s="1939"/>
      <c r="M39" s="1940"/>
      <c r="N39" s="1939"/>
      <c r="O39" s="1940"/>
      <c r="P39" s="1939"/>
      <c r="Q39" s="1940"/>
      <c r="R39" s="1939"/>
      <c r="S39" s="1940"/>
      <c r="T39" s="1939"/>
      <c r="U39" s="1940"/>
      <c r="V39" s="1939"/>
      <c r="W39" s="1940"/>
      <c r="X39" s="1939"/>
      <c r="Y39" s="1940"/>
      <c r="Z39" s="1940"/>
      <c r="AA39" s="2615"/>
      <c r="AB39" s="2558"/>
      <c r="AC39" s="2558"/>
      <c r="AD39" s="2558"/>
      <c r="AE39" s="2558"/>
      <c r="AF39" s="2558"/>
      <c r="AG39" s="2543"/>
      <c r="AH39" s="2534"/>
      <c r="AI39" s="2533"/>
    </row>
    <row r="40" spans="1:35" s="757" customFormat="1" ht="18.95" customHeight="1">
      <c r="B40" s="257"/>
      <c r="C40" s="372"/>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764"/>
      <c r="AH40" s="762"/>
    </row>
    <row r="41" spans="1:35" ht="15.75" customHeight="1">
      <c r="A41" s="761"/>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372"/>
      <c r="AF41" s="372"/>
      <c r="AG41" s="765"/>
    </row>
    <row r="42" spans="1:35" ht="15">
      <c r="A42" s="757"/>
    </row>
    <row r="43" spans="1:35" ht="13.5" customHeight="1">
      <c r="A43" s="1407"/>
      <c r="B43" s="372"/>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765"/>
    </row>
    <row r="44" spans="1:35" ht="15">
      <c r="A44" s="227"/>
      <c r="B44" s="372"/>
      <c r="C44" s="372"/>
      <c r="D44" s="372"/>
      <c r="E44" s="372"/>
      <c r="F44" s="372"/>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765"/>
    </row>
    <row r="45" spans="1:35" ht="15">
      <c r="A45" s="227"/>
      <c r="B45" s="372"/>
      <c r="C45" s="372"/>
      <c r="D45" s="372"/>
      <c r="E45" s="372"/>
      <c r="F45" s="372"/>
      <c r="G45" s="372"/>
      <c r="H45" s="372"/>
      <c r="I45" s="372"/>
      <c r="J45" s="372"/>
      <c r="K45" s="372"/>
      <c r="L45" s="372"/>
      <c r="M45" s="372"/>
      <c r="N45" s="372"/>
      <c r="O45" s="372"/>
      <c r="P45" s="372"/>
      <c r="Q45" s="372"/>
      <c r="R45" s="372"/>
      <c r="S45" s="372"/>
      <c r="T45" s="372"/>
      <c r="U45" s="372"/>
      <c r="V45" s="372"/>
      <c r="W45" s="372"/>
      <c r="X45" s="372"/>
      <c r="Y45" s="372"/>
      <c r="Z45" s="372"/>
      <c r="AA45" s="372"/>
      <c r="AB45" s="372"/>
      <c r="AC45" s="372"/>
      <c r="AD45" s="372"/>
      <c r="AE45" s="372"/>
      <c r="AF45" s="372"/>
    </row>
    <row r="46" spans="1:35" ht="15">
      <c r="A46" s="227"/>
      <c r="B46" s="372"/>
      <c r="C46" s="372"/>
      <c r="D46" s="372"/>
      <c r="E46" s="372"/>
      <c r="F46" s="372"/>
      <c r="G46" s="372"/>
      <c r="H46" s="372"/>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row>
    <row r="47" spans="1:35" ht="15">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row>
  </sheetData>
  <customSheetViews>
    <customSheetView guid="{BD09DBC2-63A5-4D9C-9B00-4281066E9389}" scale="60" showGridLines="0" outlineSymbols="0" fitToPage="1" printArea="1">
      <selection activeCell="AI38" sqref="AI38"/>
      <pageMargins left="0.5" right="0.42708333300000001" top="0.46666666666666701" bottom="0.6" header="0" footer="0.25"/>
      <pageSetup scale="42" firstPageNumber="37" fitToHeight="0" orientation="landscape" useFirstPageNumber="1" r:id="rId1"/>
      <headerFooter alignWithMargins="0">
        <oddFooter>&amp;C&amp;P</oddFooter>
      </headerFooter>
    </customSheetView>
    <customSheetView guid="{C82E0A7D-2B5B-48FC-A705-3168E651E04C}" scale="60" showGridLines="0" outlineSymbols="0" fitToPage="1" printArea="1">
      <selection activeCell="A3" sqref="A3"/>
      <pageMargins left="0.5" right="0.42708333300000001" top="0.46666666666666701" bottom="0.6" header="0" footer="0.25"/>
      <pageSetup scale="42" fitToHeight="0" orientation="landscape" r:id="rId2"/>
      <headerFooter scaleWithDoc="0" alignWithMargins="0">
        <oddFooter>&amp;C&amp;8 37</oddFooter>
      </headerFooter>
    </customSheetView>
    <customSheetView guid="{A8B05C3B-0E7E-44A3-A097-AF4C5C09F04E}" scale="60" showGridLines="0" outlineSymbols="0" fitToPage="1" printArea="1">
      <selection activeCell="X33" sqref="X33"/>
      <pageMargins left="0.5" right="0.42708333300000001" top="0.46666666666666701" bottom="0.6" header="0" footer="0.25"/>
      <pageSetup scale="42" fitToHeight="0" orientation="landscape" r:id="rId3"/>
      <headerFooter scaleWithDoc="0" alignWithMargins="0">
        <oddFooter>&amp;C&amp;8 37</oddFooter>
      </headerFooter>
    </customSheetView>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4"/>
      <headerFooter scaleWithDoc="0" alignWithMargins="0">
        <oddFooter>&amp;C&amp;8 37</oddFooter>
      </headerFooter>
    </customSheetView>
    <customSheetView guid="{4735AAE3-27B4-4549-AAB4-50ACA997F5F5}" scale="60" showGridLines="0" outlineSymbols="0" fitToPage="1" printArea="1" topLeftCell="A3">
      <selection activeCell="AI38" sqref="AI38"/>
      <pageMargins left="0.5" right="0.42708333300000001" top="0.46666666666666701" bottom="0.6" header="0" footer="0.25"/>
      <pageSetup scale="42" fitToHeight="0" orientation="landscape" r:id="rId5"/>
      <headerFooter scaleWithDoc="0" alignWithMargins="0">
        <oddFooter>&amp;C&amp;8 37</oddFooter>
      </headerFooter>
    </customSheetView>
    <customSheetView guid="{80622567-647A-4891-B8EE-6B9E2C4DAC44}" scale="60" showGridLines="0" outlineSymbols="0" fitToPage="1" printArea="1" topLeftCell="A10">
      <selection activeCell="AD29" sqref="AD29"/>
      <pageMargins left="0.5" right="0.42708333300000001" top="0.46666666666666701" bottom="0.6" header="0" footer="0.25"/>
      <pageSetup scale="42" fitToHeight="0" orientation="landscape" r:id="rId6"/>
      <headerFooter scaleWithDoc="0" alignWithMargins="0">
        <oddFooter>&amp;C&amp;8 37</oddFooter>
      </headerFooter>
    </customSheetView>
    <customSheetView guid="{A97EE6C3-4DA8-41BD-BE43-F596EFCB43CA}" scale="60" showGridLines="0" outlineSymbols="0" fitToPage="1" printArea="1" topLeftCell="A4">
      <selection activeCell="AI3" sqref="AI3"/>
      <pageMargins left="0.5" right="0.42708333300000001" top="0.46666666666666701" bottom="0.6" header="0" footer="0.25"/>
      <pageSetup scale="42" fitToHeight="0" orientation="landscape" r:id="rId7"/>
      <headerFooter scaleWithDoc="0" alignWithMargins="0">
        <oddFooter>&amp;C&amp;8 37</oddFooter>
      </headerFooter>
    </customSheetView>
    <customSheetView guid="{90B76C5A-2FC4-40F0-8436-3E4F075A4887}" scale="70" showGridLines="0" outlineSymbols="0" fitToPage="1" printArea="1" topLeftCell="C7">
      <selection activeCell="AI3" sqref="AI3"/>
      <pageMargins left="0.5" right="0.42708333300000001" top="0.46666666666666701" bottom="0.6" header="0" footer="0.25"/>
      <pageSetup scale="41" fitToHeight="0" orientation="landscape" r:id="rId8"/>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9"/>
  <headerFooter scaleWithDoc="0" alignWithMargins="0">
    <oddFooter>&amp;C&amp;8&amp;P</oddFooter>
  </headerFooter>
  <ignoredErrors>
    <ignoredError sqref="B11 T11" numberStoredAsText="1"/>
    <ignoredError sqref="AI24" formula="1"/>
  </ignoredErrors>
</worksheet>
</file>

<file path=xl/worksheets/sheet3.xml><?xml version="1.0" encoding="utf-8"?>
<worksheet xmlns="http://schemas.openxmlformats.org/spreadsheetml/2006/main" xmlns:r="http://schemas.openxmlformats.org/officeDocument/2006/relationships">
  <sheetPr>
    <pageSetUpPr autoPageBreaks="0"/>
  </sheetPr>
  <dimension ref="A1:AG71"/>
  <sheetViews>
    <sheetView showGridLines="0" showOutlineSymbols="0" zoomScale="75" zoomScaleNormal="70" workbookViewId="0">
      <selection activeCell="U1" sqref="U1"/>
    </sheetView>
  </sheetViews>
  <sheetFormatPr defaultColWidth="8.88671875" defaultRowHeight="11.25"/>
  <cols>
    <col min="1" max="1" width="38.44140625" style="152" customWidth="1"/>
    <col min="2" max="2" width="6.88671875" style="152" customWidth="1"/>
    <col min="3" max="3" width="4.21875" style="152" customWidth="1"/>
    <col min="4" max="4" width="14" style="152" customWidth="1"/>
    <col min="5" max="5" width="1.109375" style="152" customWidth="1"/>
    <col min="6" max="6" width="13.44140625" style="152" customWidth="1"/>
    <col min="7" max="7" width="1.109375" style="152" customWidth="1"/>
    <col min="8" max="8" width="13.44140625" style="1233" customWidth="1"/>
    <col min="9" max="9" width="1.6640625" style="152" customWidth="1"/>
    <col min="10" max="10" width="13.44140625" style="152" customWidth="1"/>
    <col min="11" max="11" width="1.109375" style="152" customWidth="1"/>
    <col min="12" max="12" width="11.6640625" style="152" customWidth="1"/>
    <col min="13" max="13" width="1.109375" style="152" customWidth="1"/>
    <col min="14" max="14" width="13.5546875" style="152" customWidth="1"/>
    <col min="15" max="15" width="1.109375" style="152" customWidth="1"/>
    <col min="16" max="16" width="0.6640625" style="152" customWidth="1"/>
    <col min="17" max="17" width="1.109375" style="152" customWidth="1"/>
    <col min="18" max="18" width="14.44140625" style="152" customWidth="1"/>
    <col min="19" max="19" width="1.109375" style="152" customWidth="1"/>
    <col min="20" max="20" width="14.44140625" style="152" customWidth="1"/>
    <col min="21" max="21" width="1.109375" style="221" customWidth="1"/>
    <col min="22" max="22" width="0.6640625" style="221" customWidth="1"/>
    <col min="23" max="24" width="1.109375" style="221" customWidth="1"/>
    <col min="25" max="25" width="13.33203125" style="221" customWidth="1"/>
    <col min="26" max="26" width="1.109375" style="221" customWidth="1"/>
    <col min="27" max="27" width="16.77734375" style="221" bestFit="1" customWidth="1"/>
    <col min="28" max="28" width="1.88671875" style="221" customWidth="1"/>
    <col min="29" max="29" width="1.33203125" style="2215" customWidth="1"/>
    <col min="30" max="30" width="13.109375" style="221" customWidth="1"/>
    <col min="31" max="31" width="3" style="221" customWidth="1"/>
    <col min="32" max="32" width="12" style="221" customWidth="1"/>
    <col min="33" max="16384" width="8.88671875" style="221"/>
  </cols>
  <sheetData>
    <row r="1" spans="1:33" ht="15">
      <c r="A1" s="1227" t="s">
        <v>1322</v>
      </c>
    </row>
    <row r="2" spans="1:33" ht="15">
      <c r="A2" s="1227"/>
    </row>
    <row r="3" spans="1:33" ht="24" customHeight="1">
      <c r="A3" s="3346" t="s">
        <v>0</v>
      </c>
      <c r="B3" s="3347"/>
      <c r="C3" s="3347"/>
      <c r="D3" s="3347"/>
      <c r="E3" s="3347"/>
      <c r="F3" s="3347"/>
      <c r="G3" s="3347"/>
      <c r="H3" s="3347"/>
      <c r="I3" s="3347"/>
      <c r="J3" s="3347"/>
      <c r="K3" s="3347"/>
      <c r="L3" s="3347"/>
      <c r="M3" s="3347"/>
      <c r="N3" s="3347"/>
      <c r="O3" s="3347"/>
      <c r="P3" s="3347"/>
      <c r="Q3" s="3347"/>
      <c r="R3" s="3347"/>
      <c r="S3" s="3347"/>
      <c r="T3" s="3347"/>
      <c r="U3" s="3347"/>
      <c r="V3" s="3347"/>
      <c r="W3" s="3347"/>
      <c r="X3" s="3347"/>
      <c r="Y3" s="3347"/>
      <c r="Z3" s="3347"/>
      <c r="AA3" s="3347"/>
      <c r="AB3" s="3347"/>
      <c r="AC3" s="145"/>
      <c r="AF3" s="149" t="s">
        <v>57</v>
      </c>
    </row>
    <row r="4" spans="1:33" ht="20.25">
      <c r="A4" s="3348" t="s">
        <v>1612</v>
      </c>
      <c r="B4" s="3347"/>
      <c r="C4" s="3347"/>
      <c r="D4" s="3347"/>
      <c r="E4" s="3347"/>
      <c r="F4" s="3347"/>
      <c r="G4" s="3347"/>
      <c r="H4" s="3347"/>
      <c r="I4" s="3347"/>
      <c r="J4" s="3347"/>
      <c r="K4" s="3347"/>
      <c r="L4" s="3347"/>
      <c r="M4" s="3347"/>
      <c r="N4" s="3347"/>
      <c r="O4" s="3347"/>
      <c r="P4" s="3347"/>
      <c r="Q4" s="3347"/>
      <c r="R4" s="3347"/>
      <c r="S4" s="3347"/>
      <c r="T4" s="3347"/>
      <c r="U4" s="3347"/>
      <c r="V4" s="3347"/>
      <c r="W4" s="3347"/>
      <c r="X4" s="3347"/>
      <c r="Y4" s="3347"/>
      <c r="Z4" s="3347"/>
      <c r="AA4" s="3347"/>
      <c r="AB4" s="3347"/>
      <c r="AC4" s="145"/>
      <c r="AF4" s="149" t="s">
        <v>58</v>
      </c>
    </row>
    <row r="5" spans="1:33" ht="20.25">
      <c r="A5" s="3348" t="s">
        <v>1203</v>
      </c>
      <c r="B5" s="3347"/>
      <c r="C5" s="3347"/>
      <c r="D5" s="3347"/>
      <c r="E5" s="3347"/>
      <c r="F5" s="3347"/>
      <c r="G5" s="3347"/>
      <c r="H5" s="3347"/>
      <c r="I5" s="3347"/>
      <c r="J5" s="3347"/>
      <c r="K5" s="3347"/>
      <c r="L5" s="3347"/>
      <c r="M5" s="3347"/>
      <c r="N5" s="3347"/>
      <c r="O5" s="3347"/>
      <c r="P5" s="3347"/>
      <c r="Q5" s="3347"/>
      <c r="R5" s="3347"/>
      <c r="S5" s="3347"/>
      <c r="T5" s="3347"/>
      <c r="U5" s="3347"/>
      <c r="V5" s="3347"/>
      <c r="W5" s="3347"/>
      <c r="X5" s="3347"/>
      <c r="Y5" s="3347"/>
      <c r="Z5" s="3347"/>
      <c r="AA5" s="3347"/>
      <c r="AB5" s="3347"/>
      <c r="AC5" s="145"/>
    </row>
    <row r="6" spans="1:33" ht="23.25" customHeight="1">
      <c r="A6" s="2620" t="s">
        <v>1198</v>
      </c>
      <c r="B6" s="2619"/>
      <c r="C6" s="2619"/>
      <c r="D6" s="2619"/>
      <c r="E6" s="2619"/>
      <c r="F6" s="2619"/>
      <c r="G6" s="2619"/>
      <c r="H6" s="2619"/>
      <c r="I6" s="2619"/>
      <c r="J6" s="2619"/>
      <c r="K6" s="2619"/>
      <c r="L6" s="2619"/>
      <c r="M6" s="2619"/>
      <c r="N6" s="2619"/>
      <c r="O6" s="2619"/>
      <c r="P6" s="2619"/>
      <c r="Q6" s="2619"/>
      <c r="R6" s="2619"/>
      <c r="S6" s="2619"/>
      <c r="T6" s="2619"/>
      <c r="U6" s="2619"/>
      <c r="V6" s="2619"/>
      <c r="W6" s="2619"/>
      <c r="X6" s="2619"/>
      <c r="Y6" s="2619"/>
      <c r="Z6" s="2619"/>
      <c r="AA6" s="2619"/>
      <c r="AB6" s="2619"/>
      <c r="AC6" s="145"/>
    </row>
    <row r="7" spans="1:33" ht="23.25" customHeight="1">
      <c r="A7" s="3348"/>
      <c r="B7" s="3347"/>
      <c r="C7" s="3347"/>
      <c r="D7" s="3347"/>
      <c r="E7" s="3347"/>
      <c r="F7" s="3347"/>
      <c r="G7" s="3347"/>
      <c r="H7" s="3347"/>
      <c r="I7" s="3347"/>
      <c r="J7" s="3347"/>
      <c r="K7" s="3347"/>
      <c r="L7" s="3347"/>
      <c r="M7" s="3347"/>
      <c r="N7" s="3347"/>
      <c r="O7" s="3347"/>
      <c r="P7" s="3347"/>
      <c r="Q7" s="3347"/>
      <c r="R7" s="3347"/>
      <c r="S7" s="3347"/>
      <c r="T7" s="3347"/>
      <c r="U7" s="3347"/>
      <c r="V7" s="3347"/>
      <c r="W7" s="3347"/>
      <c r="X7" s="3347"/>
      <c r="Y7" s="3347"/>
      <c r="Z7" s="3347"/>
      <c r="AA7" s="3347"/>
      <c r="AB7" s="3347"/>
      <c r="AC7" s="145"/>
    </row>
    <row r="8" spans="1:33" ht="21">
      <c r="A8" s="146"/>
      <c r="B8" s="146"/>
      <c r="C8" s="146"/>
      <c r="D8" s="146"/>
      <c r="E8" s="146"/>
      <c r="F8" s="146"/>
      <c r="G8" s="146"/>
      <c r="H8" s="1232"/>
      <c r="I8" s="147"/>
      <c r="J8" s="147"/>
      <c r="K8" s="147"/>
      <c r="L8" s="147"/>
      <c r="M8" s="146"/>
      <c r="N8" s="147"/>
      <c r="O8" s="147"/>
      <c r="P8" s="147"/>
      <c r="Q8" s="147"/>
      <c r="R8" s="147"/>
      <c r="S8" s="147"/>
      <c r="T8" s="147"/>
      <c r="U8" s="2482"/>
      <c r="V8" s="2482"/>
      <c r="W8" s="2482"/>
      <c r="X8" s="2482"/>
      <c r="Y8" s="148"/>
      <c r="Z8" s="148"/>
      <c r="AA8" s="149"/>
      <c r="AB8" s="148"/>
      <c r="AC8" s="150"/>
    </row>
    <row r="9" spans="1:33" ht="20.25" customHeight="1">
      <c r="A9" s="146"/>
      <c r="B9" s="146"/>
      <c r="C9" s="146"/>
      <c r="D9" s="146"/>
      <c r="E9" s="146"/>
      <c r="F9" s="146"/>
      <c r="G9" s="146"/>
      <c r="H9" s="1232"/>
      <c r="I9" s="147"/>
      <c r="J9" s="147"/>
      <c r="K9" s="147"/>
      <c r="L9" s="147"/>
      <c r="M9" s="146"/>
      <c r="N9" s="147"/>
      <c r="O9" s="154"/>
      <c r="P9" s="154"/>
      <c r="Q9" s="154"/>
      <c r="R9" s="154"/>
      <c r="S9" s="157"/>
      <c r="T9" s="157"/>
      <c r="U9" s="2215"/>
      <c r="V9" s="2215"/>
      <c r="W9" s="2215"/>
      <c r="X9" s="2214"/>
      <c r="Y9" s="148"/>
      <c r="Z9" s="148"/>
      <c r="AA9" s="149"/>
      <c r="AB9" s="148"/>
      <c r="AC9" s="150"/>
    </row>
    <row r="10" spans="1:33" ht="12" customHeight="1">
      <c r="A10" s="146"/>
      <c r="B10" s="146"/>
      <c r="C10" s="146"/>
      <c r="D10" s="146"/>
      <c r="E10" s="146"/>
      <c r="F10" s="146"/>
      <c r="G10" s="146"/>
      <c r="H10" s="1232"/>
      <c r="I10" s="147"/>
      <c r="J10" s="147"/>
      <c r="K10" s="147"/>
      <c r="L10" s="147"/>
      <c r="M10" s="146"/>
      <c r="N10" s="147"/>
      <c r="O10" s="154"/>
      <c r="P10" s="2216"/>
      <c r="Q10" s="2214"/>
      <c r="R10" s="2214"/>
      <c r="S10" s="2215"/>
      <c r="T10" s="2215"/>
      <c r="U10" s="2215"/>
      <c r="V10" s="2215"/>
      <c r="W10" s="2215"/>
      <c r="X10" s="2214"/>
      <c r="Y10" s="148"/>
      <c r="Z10" s="148"/>
      <c r="AA10" s="153"/>
      <c r="AB10" s="148"/>
      <c r="AC10" s="150"/>
    </row>
    <row r="11" spans="1:33" ht="8.25" customHeight="1">
      <c r="A11" s="147"/>
      <c r="B11" s="146"/>
      <c r="C11" s="146"/>
      <c r="O11" s="147"/>
      <c r="P11" s="2217"/>
      <c r="Q11" s="2214"/>
      <c r="R11" s="2214"/>
      <c r="S11" s="2214"/>
      <c r="T11" s="2214"/>
      <c r="U11" s="2214"/>
      <c r="V11" s="2214"/>
      <c r="W11" s="2482"/>
      <c r="X11" s="2482"/>
      <c r="Y11" s="2269"/>
      <c r="Z11" s="2269"/>
      <c r="AA11" s="2269"/>
      <c r="AB11" s="2269"/>
      <c r="AC11" s="2483"/>
    </row>
    <row r="12" spans="1:33" ht="15.95" customHeight="1">
      <c r="A12" s="146"/>
      <c r="B12" s="146"/>
      <c r="C12" s="155"/>
      <c r="D12" s="3343"/>
      <c r="E12" s="3344"/>
      <c r="F12" s="3344"/>
      <c r="G12" s="3344"/>
      <c r="H12" s="3344"/>
      <c r="I12" s="3344"/>
      <c r="J12" s="3344"/>
      <c r="K12" s="3344"/>
      <c r="L12" s="3344"/>
      <c r="M12" s="3344"/>
      <c r="N12" s="3344"/>
      <c r="O12" s="2214"/>
      <c r="P12" s="2216"/>
      <c r="Q12" s="2214"/>
      <c r="R12" s="3342"/>
      <c r="S12" s="3342"/>
      <c r="T12" s="3342"/>
      <c r="U12" s="3342"/>
      <c r="V12" s="3342"/>
      <c r="W12" s="3342"/>
      <c r="X12" s="3342"/>
      <c r="Y12" s="3342"/>
      <c r="Z12" s="3342"/>
      <c r="AA12" s="3342"/>
      <c r="AB12" s="3342"/>
      <c r="AC12" s="2483"/>
      <c r="AD12" s="2215"/>
      <c r="AE12" s="2215"/>
      <c r="AF12" s="2215"/>
      <c r="AG12" s="2215"/>
    </row>
    <row r="13" spans="1:33" ht="15.95" customHeight="1">
      <c r="A13" s="1231"/>
      <c r="B13" s="1140"/>
      <c r="C13" s="1140"/>
      <c r="D13" s="162" t="s">
        <v>3</v>
      </c>
      <c r="E13" s="162"/>
      <c r="F13" s="162"/>
      <c r="G13" s="163"/>
      <c r="H13" s="1251" t="s">
        <v>1575</v>
      </c>
      <c r="I13" s="162"/>
      <c r="J13" s="162"/>
      <c r="K13" s="157"/>
      <c r="L13" s="3345" t="s">
        <v>5</v>
      </c>
      <c r="M13" s="3345"/>
      <c r="N13" s="3345"/>
      <c r="O13" s="2151"/>
      <c r="P13" s="2218"/>
      <c r="Q13" s="2218"/>
      <c r="R13" s="3076" t="s">
        <v>1610</v>
      </c>
      <c r="S13" s="3076"/>
      <c r="T13" s="3076"/>
      <c r="U13" s="3076"/>
      <c r="V13" s="3076"/>
      <c r="W13" s="3076"/>
      <c r="X13" s="3076"/>
      <c r="Y13" s="3076"/>
      <c r="Z13" s="3076"/>
      <c r="AA13" s="3076"/>
      <c r="AB13" s="3076"/>
      <c r="AC13" s="2648"/>
      <c r="AD13" s="2649"/>
      <c r="AE13" s="2649"/>
      <c r="AF13" s="2649"/>
    </row>
    <row r="14" spans="1:33" ht="15.75" customHeight="1">
      <c r="A14" s="160"/>
      <c r="B14" s="160"/>
      <c r="C14" s="161"/>
      <c r="D14" s="2151" t="s">
        <v>7</v>
      </c>
      <c r="E14" s="2151"/>
      <c r="F14" s="165" t="str">
        <f>'Exhibit A'!F11</f>
        <v>7 MOS. ENDED</v>
      </c>
      <c r="G14" s="156"/>
      <c r="H14" s="2151" t="s">
        <v>7</v>
      </c>
      <c r="I14" s="2151"/>
      <c r="J14" s="2151" t="str">
        <f>F14</f>
        <v>7 MOS. ENDED</v>
      </c>
      <c r="K14" s="156"/>
      <c r="L14" s="2151" t="s">
        <v>7</v>
      </c>
      <c r="M14" s="2151"/>
      <c r="N14" s="2151" t="str">
        <f>F14</f>
        <v>7 MOS. ENDED</v>
      </c>
      <c r="O14" s="2151"/>
      <c r="P14" s="2219"/>
      <c r="Q14" s="2151"/>
      <c r="R14" s="2151" t="s">
        <v>7</v>
      </c>
      <c r="S14" s="2151"/>
      <c r="T14" s="2151" t="str">
        <f>F14</f>
        <v>7 MOS. ENDED</v>
      </c>
      <c r="U14" s="2218"/>
      <c r="V14" s="2218"/>
      <c r="W14" s="2218"/>
      <c r="X14" s="2218"/>
      <c r="Y14" s="2218" t="s">
        <v>7</v>
      </c>
      <c r="Z14" s="2218"/>
      <c r="AA14" s="2218" t="str">
        <f>'Exhibit A'!AD11</f>
        <v>7 MOS. ENDED</v>
      </c>
      <c r="AB14" s="2218"/>
      <c r="AC14" s="2484"/>
      <c r="AD14" s="24" t="s">
        <v>8</v>
      </c>
      <c r="AE14" s="1229"/>
      <c r="AF14" s="20" t="s">
        <v>9</v>
      </c>
    </row>
    <row r="15" spans="1:33" ht="15.95" customHeight="1">
      <c r="A15" s="160"/>
      <c r="B15" s="160"/>
      <c r="C15" s="160"/>
      <c r="D15" s="166" t="str">
        <f>'Exhibit A'!D12</f>
        <v>OCT. 2014</v>
      </c>
      <c r="E15" s="156"/>
      <c r="F15" s="166" t="str">
        <f>'Exhibit A'!F12</f>
        <v>OCT. 31, 2014</v>
      </c>
      <c r="G15" s="156"/>
      <c r="H15" s="2152" t="str">
        <f>D15</f>
        <v>OCT. 2014</v>
      </c>
      <c r="I15" s="156"/>
      <c r="J15" s="2152" t="str">
        <f>F15</f>
        <v>OCT. 31, 2014</v>
      </c>
      <c r="K15" s="156"/>
      <c r="L15" s="2152" t="str">
        <f>D15</f>
        <v>OCT. 2014</v>
      </c>
      <c r="M15" s="156"/>
      <c r="N15" s="2152" t="str">
        <f>F15</f>
        <v>OCT. 31, 2014</v>
      </c>
      <c r="O15" s="2151"/>
      <c r="P15" s="2219"/>
      <c r="Q15" s="2151"/>
      <c r="R15" s="2152" t="str">
        <f>D15</f>
        <v>OCT. 2014</v>
      </c>
      <c r="S15" s="156"/>
      <c r="T15" s="2152" t="str">
        <f>F15</f>
        <v>OCT. 31, 2014</v>
      </c>
      <c r="U15" s="2218"/>
      <c r="V15" s="2218"/>
      <c r="W15" s="2218"/>
      <c r="X15" s="2270"/>
      <c r="Y15" s="2485" t="str">
        <f>'Exhibit A'!AB12</f>
        <v>OCT. 2013</v>
      </c>
      <c r="Z15" s="2270"/>
      <c r="AA15" s="2485" t="str">
        <f>'Exhibit A'!AD12</f>
        <v>OCT. 31, 2013</v>
      </c>
      <c r="AB15" s="2270"/>
      <c r="AC15" s="2484"/>
      <c r="AD15" s="2486" t="s">
        <v>13</v>
      </c>
      <c r="AE15" s="1227"/>
      <c r="AF15" s="25" t="s">
        <v>14</v>
      </c>
    </row>
    <row r="16" spans="1:33" ht="15.95" customHeight="1">
      <c r="A16" s="159" t="s">
        <v>15</v>
      </c>
      <c r="B16" s="160"/>
      <c r="C16" s="160"/>
      <c r="D16" s="1150" t="s">
        <v>16</v>
      </c>
      <c r="E16" s="160"/>
      <c r="F16" s="161"/>
      <c r="G16" s="160"/>
      <c r="H16" s="1140" t="s">
        <v>16</v>
      </c>
      <c r="I16" s="160"/>
      <c r="J16" s="161"/>
      <c r="K16" s="160"/>
      <c r="L16" s="1140" t="s">
        <v>16</v>
      </c>
      <c r="M16" s="160"/>
      <c r="N16" s="161"/>
      <c r="O16" s="161"/>
      <c r="P16" s="2220"/>
      <c r="Q16" s="167"/>
      <c r="R16" s="161"/>
      <c r="S16" s="161"/>
      <c r="T16" s="161"/>
      <c r="U16" s="168"/>
      <c r="V16" s="168"/>
      <c r="W16" s="2487"/>
      <c r="X16" s="168"/>
      <c r="Y16" s="168"/>
      <c r="Z16" s="180"/>
      <c r="AA16" s="168"/>
      <c r="AB16" s="168"/>
      <c r="AC16" s="2273"/>
      <c r="AD16" s="33"/>
      <c r="AE16" s="2"/>
      <c r="AF16" s="19"/>
    </row>
    <row r="17" spans="1:32" ht="18" customHeight="1">
      <c r="A17" s="160" t="s">
        <v>17</v>
      </c>
      <c r="B17" s="169">
        <v>-5</v>
      </c>
      <c r="C17" s="160"/>
      <c r="D17" s="1151">
        <f>+'Exhibit A'!D14</f>
        <v>1861.1</v>
      </c>
      <c r="E17" s="170" t="s">
        <v>16</v>
      </c>
      <c r="F17" s="170">
        <f>+'Exhibit A'!F14</f>
        <v>16898.3</v>
      </c>
      <c r="G17" s="170"/>
      <c r="H17" s="1292">
        <f>+'Exhibit G state'!P16</f>
        <v>4.5</v>
      </c>
      <c r="I17" s="170"/>
      <c r="J17" s="2405">
        <f>'Exhibit G state'!AE16</f>
        <v>632</v>
      </c>
      <c r="K17" s="170"/>
      <c r="L17" s="1141">
        <f>+'Exhibit A'!L14</f>
        <v>621.79999999999995</v>
      </c>
      <c r="M17" s="170"/>
      <c r="N17" s="170">
        <f>+'Exhibit A'!N14</f>
        <v>5843.4</v>
      </c>
      <c r="O17" s="172"/>
      <c r="P17" s="2221"/>
      <c r="Q17" s="173"/>
      <c r="R17" s="170">
        <f t="shared" ref="R17:R22" si="0">ROUND(SUM(D17+H17+L17),1)</f>
        <v>2487.4</v>
      </c>
      <c r="S17" s="170"/>
      <c r="T17" s="171">
        <f t="shared" ref="T17:T22" si="1">ROUND(SUM(F17+J17+N17),1)</f>
        <v>23373.7</v>
      </c>
      <c r="U17" s="2225"/>
      <c r="V17" s="2225"/>
      <c r="W17" s="2488"/>
      <c r="X17" s="2225"/>
      <c r="Y17" s="2225">
        <v>2405.5</v>
      </c>
      <c r="Z17" s="2225" t="s">
        <v>16</v>
      </c>
      <c r="AA17" s="2225">
        <f>'Exh F'!AF28+'Exhibit G state'!AH16+'Exhibit H'!AD16</f>
        <v>23980.9</v>
      </c>
      <c r="AB17" s="2271"/>
      <c r="AC17" s="2274"/>
      <c r="AD17" s="2489">
        <f t="shared" ref="AD17:AD22" si="2">ROUND(SUM(T17-AA17),1)</f>
        <v>-607.20000000000005</v>
      </c>
      <c r="AE17" s="44"/>
      <c r="AF17" s="45">
        <f t="shared" ref="AF17:AF23" si="3">ROUND(+AD17/AA17,3)</f>
        <v>-2.5000000000000001E-2</v>
      </c>
    </row>
    <row r="18" spans="1:32" ht="18" customHeight="1">
      <c r="A18" s="160" t="s">
        <v>18</v>
      </c>
      <c r="B18" s="169" t="s">
        <v>16</v>
      </c>
      <c r="C18" s="160"/>
      <c r="D18" s="1142">
        <f>+'Exhibit A'!D15</f>
        <v>515.9</v>
      </c>
      <c r="E18" s="174"/>
      <c r="F18" s="174">
        <f>+'Exhibit A'!F15</f>
        <v>3907</v>
      </c>
      <c r="G18" s="174"/>
      <c r="H18" s="1293">
        <f>+'Exhibit G state'!P27</f>
        <v>179</v>
      </c>
      <c r="I18" s="174"/>
      <c r="J18" s="2396">
        <f>'Exhibit G state'!AE27</f>
        <v>1272.9000000000001</v>
      </c>
      <c r="K18" s="174"/>
      <c r="L18" s="1142">
        <f>+'Exhibit A'!L15</f>
        <v>465.7</v>
      </c>
      <c r="M18" s="174"/>
      <c r="N18" s="174">
        <f>+'Exhibit A'!N15</f>
        <v>3510.3</v>
      </c>
      <c r="O18" s="175"/>
      <c r="P18" s="2222"/>
      <c r="Q18" s="176"/>
      <c r="R18" s="174">
        <f t="shared" si="0"/>
        <v>1160.5999999999999</v>
      </c>
      <c r="S18" s="174"/>
      <c r="T18" s="177">
        <f t="shared" si="1"/>
        <v>8690.2000000000007</v>
      </c>
      <c r="U18" s="199"/>
      <c r="V18" s="199"/>
      <c r="W18" s="2227"/>
      <c r="X18" s="199"/>
      <c r="Y18" s="199">
        <v>1137</v>
      </c>
      <c r="Z18" s="199" t="s">
        <v>16</v>
      </c>
      <c r="AA18" s="199">
        <f>'Exh F'!AF37+'Exhibit G state'!AH27+'Exhibit H'!AD20</f>
        <v>8523.4</v>
      </c>
      <c r="AB18" s="168"/>
      <c r="AC18" s="2273"/>
      <c r="AD18" s="53">
        <f t="shared" si="2"/>
        <v>166.8</v>
      </c>
      <c r="AE18" s="2"/>
      <c r="AF18" s="45">
        <f t="shared" si="3"/>
        <v>0.02</v>
      </c>
    </row>
    <row r="19" spans="1:32" ht="18" customHeight="1">
      <c r="A19" s="160" t="s">
        <v>19</v>
      </c>
      <c r="B19" s="181"/>
      <c r="C19" s="160"/>
      <c r="D19" s="1142">
        <f>+'Exhibit A'!D16</f>
        <v>87</v>
      </c>
      <c r="E19" s="174"/>
      <c r="F19" s="174">
        <f>+'Exhibit A'!F16</f>
        <v>2811</v>
      </c>
      <c r="G19" s="174"/>
      <c r="H19" s="1293">
        <f>+'Exhibit G state'!P34</f>
        <v>37.4</v>
      </c>
      <c r="I19" s="174"/>
      <c r="J19" s="2396">
        <f>'Exhibit G state'!AE34</f>
        <v>795.4</v>
      </c>
      <c r="K19" s="174"/>
      <c r="L19" s="1142">
        <f>+'Exhibit A'!L16</f>
        <v>0</v>
      </c>
      <c r="M19" s="174"/>
      <c r="N19" s="174">
        <f>+'Exhibit A'!N16</f>
        <v>0</v>
      </c>
      <c r="O19" s="182"/>
      <c r="P19" s="2223"/>
      <c r="Q19" s="183"/>
      <c r="R19" s="174">
        <f t="shared" si="0"/>
        <v>124.4</v>
      </c>
      <c r="S19" s="174"/>
      <c r="T19" s="177">
        <f t="shared" si="1"/>
        <v>3606.4</v>
      </c>
      <c r="U19" s="199"/>
      <c r="V19" s="199"/>
      <c r="W19" s="2490"/>
      <c r="X19" s="2226"/>
      <c r="Y19" s="199">
        <v>158.80000000000001</v>
      </c>
      <c r="Z19" s="199" t="s">
        <v>16</v>
      </c>
      <c r="AA19" s="199">
        <f>'Exh F'!AF44+'Exhibit G state'!AH34</f>
        <v>3405.9</v>
      </c>
      <c r="AB19" s="168"/>
      <c r="AC19" s="2273"/>
      <c r="AD19" s="53">
        <f t="shared" si="2"/>
        <v>200.5</v>
      </c>
      <c r="AE19" s="2"/>
      <c r="AF19" s="45">
        <f t="shared" si="3"/>
        <v>5.8999999999999997E-2</v>
      </c>
    </row>
    <row r="20" spans="1:32" ht="18" customHeight="1">
      <c r="A20" s="160" t="s">
        <v>20</v>
      </c>
      <c r="B20" s="184"/>
      <c r="C20" s="160"/>
      <c r="D20" s="1142">
        <f>+'Exhibit A'!D17</f>
        <v>105.9</v>
      </c>
      <c r="E20" s="174"/>
      <c r="F20" s="174">
        <f>+'Exhibit A'!F17</f>
        <v>678.9</v>
      </c>
      <c r="G20" s="174"/>
      <c r="H20" s="1293">
        <f>+'Exhibit G state'!P37</f>
        <v>101.6</v>
      </c>
      <c r="I20" s="174"/>
      <c r="J20" s="2396">
        <f>'Exhibit G state'!AE37</f>
        <v>671.6</v>
      </c>
      <c r="K20" s="174"/>
      <c r="L20" s="1142">
        <f>+'Exhibit A'!L17</f>
        <v>80.8</v>
      </c>
      <c r="M20" s="174"/>
      <c r="N20" s="174">
        <f>+'Exhibit A'!N17</f>
        <v>533.6</v>
      </c>
      <c r="O20" s="175"/>
      <c r="P20" s="2222"/>
      <c r="Q20" s="176"/>
      <c r="R20" s="174">
        <f t="shared" si="0"/>
        <v>288.3</v>
      </c>
      <c r="S20" s="174"/>
      <c r="T20" s="177">
        <f t="shared" si="1"/>
        <v>1884.1</v>
      </c>
      <c r="U20" s="199"/>
      <c r="V20" s="199"/>
      <c r="W20" s="2227"/>
      <c r="X20" s="199"/>
      <c r="Y20" s="199">
        <v>377.9</v>
      </c>
      <c r="Z20" s="199" t="s">
        <v>16</v>
      </c>
      <c r="AA20" s="199">
        <f>'Exh F'!AF52+'Exhibit G state'!AH37+'Exhibit H'!AD23</f>
        <v>1896.7</v>
      </c>
      <c r="AB20" s="168"/>
      <c r="AC20" s="2273"/>
      <c r="AD20" s="53">
        <f t="shared" si="2"/>
        <v>-12.6</v>
      </c>
      <c r="AE20" s="2"/>
      <c r="AF20" s="45">
        <f t="shared" si="3"/>
        <v>-7.0000000000000001E-3</v>
      </c>
    </row>
    <row r="21" spans="1:32" ht="18" customHeight="1">
      <c r="A21" s="160" t="s">
        <v>21</v>
      </c>
      <c r="B21" s="185"/>
      <c r="C21" s="160"/>
      <c r="D21" s="1142">
        <f>+'Exhibit A'!D18</f>
        <v>512.20000000000005</v>
      </c>
      <c r="E21" s="174"/>
      <c r="F21" s="174">
        <f>+'Exhibit A'!F18</f>
        <v>5841.1</v>
      </c>
      <c r="G21" s="174"/>
      <c r="H21" s="1293">
        <f>+'Exhibit G state'!P80</f>
        <v>1474.8</v>
      </c>
      <c r="I21" s="174"/>
      <c r="J21" s="2396">
        <f>'Exhibit G state'!AE80</f>
        <v>9380.7000000000007</v>
      </c>
      <c r="K21" s="174"/>
      <c r="L21" s="1142">
        <f>+'Exhibit A'!L18</f>
        <v>30.9</v>
      </c>
      <c r="M21" s="174"/>
      <c r="N21" s="174">
        <f>+'Exhibit A'!N18</f>
        <v>316.39999999999998</v>
      </c>
      <c r="O21" s="175"/>
      <c r="P21" s="2222"/>
      <c r="Q21" s="176"/>
      <c r="R21" s="174">
        <f t="shared" si="0"/>
        <v>2017.9</v>
      </c>
      <c r="S21" s="174"/>
      <c r="T21" s="177">
        <f t="shared" si="1"/>
        <v>15538.2</v>
      </c>
      <c r="U21" s="199"/>
      <c r="V21" s="199"/>
      <c r="W21" s="2227"/>
      <c r="X21" s="199"/>
      <c r="Y21" s="199">
        <v>1502.8</v>
      </c>
      <c r="Z21" s="199" t="s">
        <v>16</v>
      </c>
      <c r="AA21" s="199">
        <f>+'Exh F'!AF88+'Exhibit G state'!AH80+'Exhibit H'!AD40</f>
        <v>11788.300000000001</v>
      </c>
      <c r="AB21" s="168"/>
      <c r="AC21" s="2273"/>
      <c r="AD21" s="53">
        <f t="shared" si="2"/>
        <v>3749.9</v>
      </c>
      <c r="AE21" s="2"/>
      <c r="AF21" s="45">
        <f t="shared" si="3"/>
        <v>0.318</v>
      </c>
    </row>
    <row r="22" spans="1:32" ht="18" customHeight="1">
      <c r="A22" s="160" t="s">
        <v>22</v>
      </c>
      <c r="B22" s="184"/>
      <c r="C22" s="160"/>
      <c r="D22" s="1142">
        <f>+'Exhibit A'!D19</f>
        <v>0</v>
      </c>
      <c r="E22" s="174"/>
      <c r="F22" s="174">
        <f>+'Exhibit A'!F19</f>
        <v>0.7</v>
      </c>
      <c r="G22" s="174"/>
      <c r="H22" s="1293">
        <f>+'Exhibit G state'!P82</f>
        <v>0</v>
      </c>
      <c r="I22" s="174"/>
      <c r="J22" s="2396">
        <f>'Exhibit G state'!AE82</f>
        <v>0</v>
      </c>
      <c r="K22" s="174"/>
      <c r="L22" s="1142">
        <f>+'Exhibit A'!L19</f>
        <v>0</v>
      </c>
      <c r="M22" s="179"/>
      <c r="N22" s="174">
        <f>+'Exhibit A'!N19</f>
        <v>36.6</v>
      </c>
      <c r="O22" s="182"/>
      <c r="P22" s="2223"/>
      <c r="Q22" s="183"/>
      <c r="R22" s="179">
        <f t="shared" si="0"/>
        <v>0</v>
      </c>
      <c r="S22" s="182"/>
      <c r="T22" s="177">
        <f t="shared" si="1"/>
        <v>37.299999999999997</v>
      </c>
      <c r="U22" s="199"/>
      <c r="V22" s="199"/>
      <c r="W22" s="2490"/>
      <c r="X22" s="2491"/>
      <c r="Y22" s="199">
        <v>0</v>
      </c>
      <c r="Z22" s="199" t="s">
        <v>16</v>
      </c>
      <c r="AA22" s="199">
        <f>+'Exh F'!AF90+'Exhibit G state'!AH82+'Exhibit H'!AD42</f>
        <v>34.599999999999994</v>
      </c>
      <c r="AB22" s="168"/>
      <c r="AC22" s="2273"/>
      <c r="AD22" s="53">
        <f t="shared" si="2"/>
        <v>2.7</v>
      </c>
      <c r="AE22" s="2"/>
      <c r="AF22" s="45">
        <f t="shared" si="3"/>
        <v>7.8E-2</v>
      </c>
    </row>
    <row r="23" spans="1:32" ht="18" customHeight="1">
      <c r="A23" s="159" t="s">
        <v>23</v>
      </c>
      <c r="B23" s="160"/>
      <c r="C23" s="160"/>
      <c r="D23" s="186">
        <f>ROUND(SUM(D17:D22),1)</f>
        <v>3082.1</v>
      </c>
      <c r="E23" s="187"/>
      <c r="F23" s="188">
        <f>ROUND(SUM(F17:F22),1)</f>
        <v>30137</v>
      </c>
      <c r="G23" s="187"/>
      <c r="H23" s="186">
        <f>ROUND(SUM(H17:H22),1)</f>
        <v>1797.3</v>
      </c>
      <c r="I23" s="187"/>
      <c r="J23" s="186">
        <f>ROUND(SUM(J17:J22),1)</f>
        <v>12752.6</v>
      </c>
      <c r="K23" s="187"/>
      <c r="L23" s="186">
        <f>ROUND(SUM(L17:L22),1)</f>
        <v>1199.2</v>
      </c>
      <c r="M23" s="187"/>
      <c r="N23" s="186">
        <f>ROUND(SUM(N17:N22),1)</f>
        <v>10240.299999999999</v>
      </c>
      <c r="O23" s="189"/>
      <c r="P23" s="206"/>
      <c r="Q23" s="190"/>
      <c r="R23" s="186">
        <f>ROUND(SUM(R17:R22),1)</f>
        <v>6078.6</v>
      </c>
      <c r="S23" s="189"/>
      <c r="T23" s="186">
        <f>ROUND(SUM(T17:T22),1)</f>
        <v>53129.9</v>
      </c>
      <c r="U23" s="208"/>
      <c r="V23" s="208"/>
      <c r="W23" s="2492"/>
      <c r="X23" s="208"/>
      <c r="Y23" s="2493">
        <f>ROUND(SUM(Y17:Y22),1)</f>
        <v>5582</v>
      </c>
      <c r="Z23" s="204"/>
      <c r="AA23" s="2493">
        <f>ROUND(SUM(AA17:AA22),1)</f>
        <v>49629.8</v>
      </c>
      <c r="AB23" s="209"/>
      <c r="AC23" s="2275"/>
      <c r="AD23" s="2494">
        <f>ROUND(SUM(AD17:AD22),1)</f>
        <v>3500.1</v>
      </c>
      <c r="AE23" s="73"/>
      <c r="AF23" s="74">
        <f t="shared" si="3"/>
        <v>7.0999999999999994E-2</v>
      </c>
    </row>
    <row r="24" spans="1:32" ht="15.95" customHeight="1">
      <c r="A24" s="159"/>
      <c r="B24" s="160"/>
      <c r="C24" s="160"/>
      <c r="D24" s="1143"/>
      <c r="E24" s="174"/>
      <c r="F24" s="175"/>
      <c r="G24" s="174"/>
      <c r="H24" s="1143"/>
      <c r="I24" s="174"/>
      <c r="J24" s="175"/>
      <c r="K24" s="174"/>
      <c r="L24" s="1143"/>
      <c r="M24" s="174"/>
      <c r="N24" s="175"/>
      <c r="O24" s="175"/>
      <c r="P24" s="2222"/>
      <c r="Q24" s="176"/>
      <c r="R24" s="175"/>
      <c r="S24" s="175"/>
      <c r="T24" s="175"/>
      <c r="U24" s="201"/>
      <c r="V24" s="201"/>
      <c r="W24" s="2227"/>
      <c r="X24" s="201"/>
      <c r="Y24" s="201"/>
      <c r="Z24" s="199"/>
      <c r="AA24" s="201"/>
      <c r="AB24" s="168"/>
      <c r="AC24" s="2273"/>
      <c r="AD24" s="54"/>
      <c r="AE24" s="2"/>
      <c r="AF24" s="19"/>
    </row>
    <row r="25" spans="1:32" ht="15.95" customHeight="1">
      <c r="A25" s="159" t="s">
        <v>24</v>
      </c>
      <c r="B25" s="160"/>
      <c r="C25" s="160"/>
      <c r="D25" s="1142"/>
      <c r="E25" s="174"/>
      <c r="F25" s="174"/>
      <c r="G25" s="174"/>
      <c r="H25" s="1142"/>
      <c r="I25" s="174"/>
      <c r="J25" s="174"/>
      <c r="K25" s="174"/>
      <c r="L25" s="1142"/>
      <c r="M25" s="174"/>
      <c r="N25" s="174"/>
      <c r="O25" s="175"/>
      <c r="P25" s="2222"/>
      <c r="Q25" s="176"/>
      <c r="R25" s="174"/>
      <c r="S25" s="174"/>
      <c r="T25" s="174"/>
      <c r="U25" s="199"/>
      <c r="V25" s="199"/>
      <c r="W25" s="2227"/>
      <c r="X25" s="199"/>
      <c r="Y25" s="199"/>
      <c r="Z25" s="199"/>
      <c r="AA25" s="199"/>
      <c r="AB25" s="168"/>
      <c r="AC25" s="2273"/>
      <c r="AD25" s="53"/>
      <c r="AE25" s="2"/>
      <c r="AF25" s="19"/>
    </row>
    <row r="26" spans="1:32" ht="15.95" customHeight="1">
      <c r="A26" s="160" t="s">
        <v>25</v>
      </c>
      <c r="B26" s="184" t="s">
        <v>1300</v>
      </c>
      <c r="C26" s="160"/>
      <c r="D26" s="1144"/>
      <c r="E26" s="179"/>
      <c r="F26" s="178"/>
      <c r="G26" s="174"/>
      <c r="H26" s="1144"/>
      <c r="I26" s="179"/>
      <c r="J26" s="178"/>
      <c r="K26" s="174"/>
      <c r="L26" s="1144"/>
      <c r="M26" s="174"/>
      <c r="N26" s="179"/>
      <c r="O26" s="175"/>
      <c r="P26" s="2222"/>
      <c r="Q26" s="176"/>
      <c r="R26" s="179"/>
      <c r="S26" s="179"/>
      <c r="T26" s="179"/>
      <c r="U26" s="199"/>
      <c r="V26" s="199"/>
      <c r="W26" s="2227"/>
      <c r="X26" s="2226"/>
      <c r="Y26" s="199"/>
      <c r="Z26" s="199"/>
      <c r="AA26" s="199"/>
      <c r="AB26" s="168"/>
      <c r="AC26" s="2273"/>
      <c r="AD26" s="2495"/>
      <c r="AE26" s="2"/>
      <c r="AF26" s="78"/>
    </row>
    <row r="27" spans="1:32" ht="18" customHeight="1">
      <c r="A27" s="1867" t="s">
        <v>26</v>
      </c>
      <c r="B27" s="160"/>
      <c r="C27" s="160"/>
      <c r="D27" s="1152">
        <f>+'Exhibit A'!D24</f>
        <v>1301.8</v>
      </c>
      <c r="E27" s="174"/>
      <c r="F27" s="191">
        <f>+'Exhibit A'!F24</f>
        <v>10970.1</v>
      </c>
      <c r="G27" s="174"/>
      <c r="H27" s="1152">
        <f>+'Exhibit G state'!P88</f>
        <v>147.6</v>
      </c>
      <c r="I27" s="174"/>
      <c r="J27" s="191">
        <f>+'Exhibit G state'!AE88</f>
        <v>3142.6</v>
      </c>
      <c r="K27" s="174"/>
      <c r="L27" s="1144">
        <f>+'Exhibit A'!L24</f>
        <v>0</v>
      </c>
      <c r="M27" s="174"/>
      <c r="N27" s="179">
        <f>+'Exhibit A'!N24</f>
        <v>0</v>
      </c>
      <c r="O27" s="182"/>
      <c r="P27" s="2223"/>
      <c r="Q27" s="183"/>
      <c r="R27" s="177">
        <f>ROUND(SUM(D27+H27+L27),1)</f>
        <v>1449.4</v>
      </c>
      <c r="S27" s="177"/>
      <c r="T27" s="177">
        <f>ROUND(SUM(F27+J27+N27),1)</f>
        <v>14112.7</v>
      </c>
      <c r="U27" s="199"/>
      <c r="V27" s="199"/>
      <c r="W27" s="2490"/>
      <c r="X27" s="2226"/>
      <c r="Y27" s="199">
        <v>1574.1</v>
      </c>
      <c r="Z27" s="199" t="s">
        <v>16</v>
      </c>
      <c r="AA27" s="199">
        <f>+'Exh F'!AF96+'Exhibit G state'!AH88</f>
        <v>12841.3</v>
      </c>
      <c r="AB27" s="168"/>
      <c r="AC27" s="2273"/>
      <c r="AD27" s="53">
        <f>ROUND(SUM(T27-AA27),1)</f>
        <v>1271.4000000000001</v>
      </c>
      <c r="AE27" s="2"/>
      <c r="AF27" s="45">
        <f>ROUND(+AD27/AA27,3)</f>
        <v>9.9000000000000005E-2</v>
      </c>
    </row>
    <row r="28" spans="1:32" ht="18" customHeight="1">
      <c r="A28" s="1867" t="s">
        <v>27</v>
      </c>
      <c r="B28" s="184"/>
      <c r="C28" s="160"/>
      <c r="D28" s="1152">
        <f>+'Exhibit A'!D25</f>
        <v>0.2</v>
      </c>
      <c r="E28" s="174"/>
      <c r="F28" s="191">
        <f>+'Exhibit A'!F25</f>
        <v>3.9</v>
      </c>
      <c r="G28" s="174"/>
      <c r="H28" s="1152">
        <f>+'Exhibit G state'!P89</f>
        <v>0</v>
      </c>
      <c r="I28" s="177"/>
      <c r="J28" s="191">
        <f>+'Exhibit G state'!AE89</f>
        <v>1.6</v>
      </c>
      <c r="K28" s="174"/>
      <c r="L28" s="1144">
        <f>+'Exhibit A'!L25</f>
        <v>0</v>
      </c>
      <c r="M28" s="174"/>
      <c r="N28" s="179">
        <f>+'Exhibit A'!N25</f>
        <v>0</v>
      </c>
      <c r="O28" s="182"/>
      <c r="P28" s="2223"/>
      <c r="Q28" s="183"/>
      <c r="R28" s="177">
        <f t="shared" ref="R28:R35" si="4">ROUND(SUM(D28+H28+L28),1)</f>
        <v>0.2</v>
      </c>
      <c r="S28" s="177"/>
      <c r="T28" s="177">
        <f t="shared" ref="T28:T35" si="5">ROUND(SUM(F28+J28+N28),1)</f>
        <v>5.5</v>
      </c>
      <c r="U28" s="199"/>
      <c r="V28" s="199"/>
      <c r="W28" s="2490"/>
      <c r="X28" s="2226"/>
      <c r="Y28" s="1147">
        <v>0.2</v>
      </c>
      <c r="Z28" s="199" t="s">
        <v>16</v>
      </c>
      <c r="AA28" s="199">
        <f>+'Exh F'!AF97+'Exhibit G state'!AH89</f>
        <v>6.3</v>
      </c>
      <c r="AB28" s="168"/>
      <c r="AC28" s="2273"/>
      <c r="AD28" s="53">
        <f>ROUND(SUM(T28-AA28),1)</f>
        <v>-0.8</v>
      </c>
      <c r="AE28" s="2"/>
      <c r="AF28" s="45">
        <f>ROUND(+AD28/AA28,3)</f>
        <v>-0.127</v>
      </c>
    </row>
    <row r="29" spans="1:32" ht="18" customHeight="1">
      <c r="A29" s="1867" t="s">
        <v>28</v>
      </c>
      <c r="B29" s="192"/>
      <c r="C29" s="160"/>
      <c r="D29" s="1152">
        <f>+'Exhibit A'!D26</f>
        <v>10.1</v>
      </c>
      <c r="E29" s="174"/>
      <c r="F29" s="191">
        <f>+'Exhibit A'!F26</f>
        <v>730.5</v>
      </c>
      <c r="G29" s="174"/>
      <c r="H29" s="1152">
        <f>+'Exhibit G state'!P90</f>
        <v>11.1</v>
      </c>
      <c r="I29" s="174"/>
      <c r="J29" s="191">
        <f>+'Exhibit G state'!AE90</f>
        <v>129.69999999999999</v>
      </c>
      <c r="K29" s="174"/>
      <c r="L29" s="1144">
        <f>+'Exhibit A'!L26</f>
        <v>0</v>
      </c>
      <c r="M29" s="174"/>
      <c r="N29" s="179">
        <f>+'Exhibit A'!N26</f>
        <v>0</v>
      </c>
      <c r="O29" s="182"/>
      <c r="P29" s="2223"/>
      <c r="Q29" s="183"/>
      <c r="R29" s="177">
        <f t="shared" si="4"/>
        <v>21.2</v>
      </c>
      <c r="S29" s="177"/>
      <c r="T29" s="177">
        <f t="shared" si="5"/>
        <v>860.2</v>
      </c>
      <c r="U29" s="199"/>
      <c r="V29" s="199"/>
      <c r="W29" s="2490"/>
      <c r="X29" s="2226"/>
      <c r="Y29" s="199">
        <v>88.4</v>
      </c>
      <c r="Z29" s="199" t="s">
        <v>16</v>
      </c>
      <c r="AA29" s="199">
        <f>+'Exh F'!AF98+'Exhibit G state'!AH90</f>
        <v>932</v>
      </c>
      <c r="AB29" s="168"/>
      <c r="AC29" s="2273"/>
      <c r="AD29" s="53">
        <f>ROUND(SUM(T29-AA29),1)</f>
        <v>-71.8</v>
      </c>
      <c r="AE29" s="2"/>
      <c r="AF29" s="45">
        <f>ROUND(+AD29/AA29,3)</f>
        <v>-7.6999999999999999E-2</v>
      </c>
    </row>
    <row r="30" spans="1:32" ht="18" customHeight="1">
      <c r="A30" s="1867" t="s">
        <v>29</v>
      </c>
      <c r="B30" s="192"/>
      <c r="C30" s="160"/>
      <c r="D30" s="1152"/>
      <c r="E30" s="174"/>
      <c r="F30" s="191"/>
      <c r="G30" s="174"/>
      <c r="H30" s="1152"/>
      <c r="I30" s="174"/>
      <c r="J30" s="191"/>
      <c r="K30" s="174"/>
      <c r="L30" s="1144"/>
      <c r="M30" s="174"/>
      <c r="N30" s="179"/>
      <c r="O30" s="182"/>
      <c r="P30" s="2223"/>
      <c r="Q30" s="183"/>
      <c r="R30" s="1154" t="s">
        <v>16</v>
      </c>
      <c r="S30" s="177"/>
      <c r="T30" s="1154" t="s">
        <v>16</v>
      </c>
      <c r="U30" s="199"/>
      <c r="V30" s="199"/>
      <c r="W30" s="2490"/>
      <c r="X30" s="2226"/>
      <c r="Y30" s="1147" t="s">
        <v>16</v>
      </c>
      <c r="Z30" s="199" t="s">
        <v>16</v>
      </c>
      <c r="AA30" s="1147" t="s">
        <v>16</v>
      </c>
      <c r="AB30" s="168"/>
      <c r="AC30" s="2273"/>
      <c r="AD30" s="53"/>
      <c r="AE30" s="2"/>
      <c r="AF30" s="45"/>
    </row>
    <row r="31" spans="1:32" ht="18" customHeight="1">
      <c r="A31" s="1868" t="s">
        <v>30</v>
      </c>
      <c r="B31" s="151"/>
      <c r="C31" s="160"/>
      <c r="D31" s="1152">
        <f>+'Exhibit A'!D28</f>
        <v>1009.2</v>
      </c>
      <c r="E31" s="174"/>
      <c r="F31" s="191">
        <f>+'Exhibit A'!F28</f>
        <v>7212.3</v>
      </c>
      <c r="G31" s="174"/>
      <c r="H31" s="1152">
        <f>+'Exhibit G state'!P92</f>
        <v>580.4</v>
      </c>
      <c r="I31" s="174"/>
      <c r="J31" s="191">
        <f>+'Exhibit G state'!AE92</f>
        <v>2970.7</v>
      </c>
      <c r="K31" s="174"/>
      <c r="L31" s="1144">
        <f>+'Exhibit A'!L28</f>
        <v>0</v>
      </c>
      <c r="M31" s="174"/>
      <c r="N31" s="179">
        <f>+'Exhibit A'!N28</f>
        <v>0</v>
      </c>
      <c r="O31" s="182"/>
      <c r="P31" s="2223"/>
      <c r="Q31" s="183"/>
      <c r="R31" s="177">
        <f t="shared" si="4"/>
        <v>1589.6</v>
      </c>
      <c r="S31" s="177"/>
      <c r="T31" s="177">
        <f t="shared" si="5"/>
        <v>10183</v>
      </c>
      <c r="U31" s="199"/>
      <c r="V31" s="199"/>
      <c r="W31" s="2490"/>
      <c r="X31" s="2226"/>
      <c r="Y31" s="199">
        <v>1463.9</v>
      </c>
      <c r="Z31" s="199" t="s">
        <v>16</v>
      </c>
      <c r="AA31" s="199">
        <f>+'Exh F'!AF100+'Exhibit G state'!AH92</f>
        <v>10048.200000000001</v>
      </c>
      <c r="AB31" s="168"/>
      <c r="AC31" s="2273"/>
      <c r="AD31" s="53">
        <f t="shared" ref="AD31:AD36" si="6">ROUND(SUM(T31-AA31),1)</f>
        <v>134.80000000000001</v>
      </c>
      <c r="AE31" s="2"/>
      <c r="AF31" s="45">
        <f t="shared" ref="AF31:AF36" si="7">ROUND(+AD31/AA31,3)</f>
        <v>1.2999999999999999E-2</v>
      </c>
    </row>
    <row r="32" spans="1:32" ht="18" customHeight="1">
      <c r="A32" s="1867" t="s">
        <v>31</v>
      </c>
      <c r="B32" s="192"/>
      <c r="C32" s="160"/>
      <c r="D32" s="1152">
        <f>+'Exhibit A'!D29</f>
        <v>43.4</v>
      </c>
      <c r="E32" s="174"/>
      <c r="F32" s="191">
        <f>+'Exhibit A'!F29</f>
        <v>471.9</v>
      </c>
      <c r="G32" s="174"/>
      <c r="H32" s="1152">
        <f>+'Exhibit G state'!P93</f>
        <v>252.8</v>
      </c>
      <c r="I32" s="174"/>
      <c r="J32" s="191">
        <f>+'Exhibit G state'!AE93</f>
        <v>1330.8</v>
      </c>
      <c r="K32" s="174"/>
      <c r="L32" s="1144">
        <f>+'Exhibit A'!L29</f>
        <v>0</v>
      </c>
      <c r="M32" s="174"/>
      <c r="N32" s="179">
        <f>+'Exhibit A'!N29</f>
        <v>0</v>
      </c>
      <c r="O32" s="182"/>
      <c r="P32" s="2223"/>
      <c r="Q32" s="183"/>
      <c r="R32" s="177">
        <f t="shared" si="4"/>
        <v>296.2</v>
      </c>
      <c r="S32" s="177"/>
      <c r="T32" s="177">
        <f t="shared" si="5"/>
        <v>1802.7</v>
      </c>
      <c r="U32" s="199"/>
      <c r="V32" s="199"/>
      <c r="W32" s="2490"/>
      <c r="X32" s="2226"/>
      <c r="Y32" s="199">
        <v>202</v>
      </c>
      <c r="Z32" s="199" t="s">
        <v>16</v>
      </c>
      <c r="AA32" s="199">
        <f>+'Exh F'!AF101+'Exhibit G state'!AH93</f>
        <v>1770.7</v>
      </c>
      <c r="AB32" s="168"/>
      <c r="AC32" s="2273"/>
      <c r="AD32" s="53">
        <f t="shared" si="6"/>
        <v>32</v>
      </c>
      <c r="AE32" s="2"/>
      <c r="AF32" s="45">
        <f t="shared" si="7"/>
        <v>1.7999999999999999E-2</v>
      </c>
    </row>
    <row r="33" spans="1:32" ht="18" customHeight="1">
      <c r="A33" s="1867" t="s">
        <v>32</v>
      </c>
      <c r="B33" s="160"/>
      <c r="C33" s="160"/>
      <c r="D33" s="1152">
        <f>+'Exhibit A'!D30</f>
        <v>5.9</v>
      </c>
      <c r="E33" s="174"/>
      <c r="F33" s="191">
        <f>+'Exhibit A'!F30</f>
        <v>90.2</v>
      </c>
      <c r="G33" s="174"/>
      <c r="H33" s="1152">
        <f>+'Exhibit G state'!P94</f>
        <v>6.8</v>
      </c>
      <c r="I33" s="174"/>
      <c r="J33" s="191">
        <f>+'Exhibit G state'!AE94</f>
        <v>72.400000000000006</v>
      </c>
      <c r="K33" s="174"/>
      <c r="L33" s="1144">
        <f>+'Exhibit A'!L30</f>
        <v>0</v>
      </c>
      <c r="M33" s="174"/>
      <c r="N33" s="179">
        <f>+'Exhibit A'!N30</f>
        <v>0</v>
      </c>
      <c r="O33" s="182"/>
      <c r="P33" s="2223"/>
      <c r="Q33" s="183"/>
      <c r="R33" s="177">
        <f t="shared" si="4"/>
        <v>12.7</v>
      </c>
      <c r="S33" s="177"/>
      <c r="T33" s="177">
        <f t="shared" si="5"/>
        <v>162.6</v>
      </c>
      <c r="U33" s="199"/>
      <c r="V33" s="199"/>
      <c r="W33" s="2490"/>
      <c r="X33" s="2226"/>
      <c r="Y33" s="199">
        <v>26.6</v>
      </c>
      <c r="Z33" s="199" t="s">
        <v>16</v>
      </c>
      <c r="AA33" s="199">
        <f>+'Exh F'!AF102+'Exhibit G state'!AH94</f>
        <v>157.1</v>
      </c>
      <c r="AB33" s="168"/>
      <c r="AC33" s="2273"/>
      <c r="AD33" s="53">
        <f t="shared" si="6"/>
        <v>5.5</v>
      </c>
      <c r="AE33" s="2"/>
      <c r="AF33" s="45">
        <f t="shared" si="7"/>
        <v>3.5000000000000003E-2</v>
      </c>
    </row>
    <row r="34" spans="1:32" ht="18" customHeight="1">
      <c r="A34" s="1867" t="s">
        <v>33</v>
      </c>
      <c r="B34" s="160"/>
      <c r="C34" s="160"/>
      <c r="D34" s="1152">
        <f>+'Exhibit A'!D31</f>
        <v>266.39999999999998</v>
      </c>
      <c r="E34" s="174"/>
      <c r="F34" s="191">
        <f>+'Exhibit A'!F31</f>
        <v>1485.4</v>
      </c>
      <c r="G34" s="174"/>
      <c r="H34" s="1152">
        <f>+'Exhibit G state'!P95</f>
        <v>0.7</v>
      </c>
      <c r="I34" s="174"/>
      <c r="J34" s="191">
        <f>+'Exhibit G state'!AE95</f>
        <v>2.9</v>
      </c>
      <c r="K34" s="174"/>
      <c r="L34" s="1144">
        <f>+'Exhibit A'!L31</f>
        <v>0</v>
      </c>
      <c r="M34" s="174"/>
      <c r="N34" s="179">
        <f>+'Exhibit A'!N31</f>
        <v>0</v>
      </c>
      <c r="O34" s="182"/>
      <c r="P34" s="2223"/>
      <c r="Q34" s="183"/>
      <c r="R34" s="177">
        <f t="shared" si="4"/>
        <v>267.10000000000002</v>
      </c>
      <c r="S34" s="177"/>
      <c r="T34" s="177">
        <f t="shared" si="5"/>
        <v>1488.3</v>
      </c>
      <c r="U34" s="199"/>
      <c r="V34" s="199"/>
      <c r="W34" s="2490"/>
      <c r="X34" s="2226"/>
      <c r="Y34" s="199">
        <v>168.7</v>
      </c>
      <c r="Z34" s="199" t="s">
        <v>16</v>
      </c>
      <c r="AA34" s="199">
        <f>+'Exh F'!AF103+'Exhibit G state'!AH95</f>
        <v>1601.6000000000001</v>
      </c>
      <c r="AB34" s="168"/>
      <c r="AC34" s="2273"/>
      <c r="AD34" s="53">
        <f t="shared" si="6"/>
        <v>-113.3</v>
      </c>
      <c r="AE34" s="2"/>
      <c r="AF34" s="45">
        <f t="shared" si="7"/>
        <v>-7.0999999999999994E-2</v>
      </c>
    </row>
    <row r="35" spans="1:32" ht="18" customHeight="1">
      <c r="A35" s="1867" t="s">
        <v>34</v>
      </c>
      <c r="B35" s="160"/>
      <c r="C35" s="160"/>
      <c r="D35" s="1152">
        <f>+'Exhibit A'!D32</f>
        <v>7.2</v>
      </c>
      <c r="E35" s="174"/>
      <c r="F35" s="191">
        <f>+'Exhibit A'!F32</f>
        <v>48.8</v>
      </c>
      <c r="G35" s="174"/>
      <c r="H35" s="1152">
        <f>+'Exhibit G state'!P96</f>
        <v>3.1</v>
      </c>
      <c r="I35" s="174"/>
      <c r="J35" s="191">
        <f>+'Exhibit G state'!AE96</f>
        <v>210.9</v>
      </c>
      <c r="K35" s="174"/>
      <c r="L35" s="1144">
        <f>+'Exhibit A'!L32</f>
        <v>0</v>
      </c>
      <c r="M35" s="174"/>
      <c r="N35" s="179">
        <f>+'Exhibit A'!N32</f>
        <v>0</v>
      </c>
      <c r="O35" s="182"/>
      <c r="P35" s="2223"/>
      <c r="Q35" s="183"/>
      <c r="R35" s="177">
        <f t="shared" si="4"/>
        <v>10.3</v>
      </c>
      <c r="S35" s="177"/>
      <c r="T35" s="177">
        <f t="shared" si="5"/>
        <v>259.7</v>
      </c>
      <c r="U35" s="199"/>
      <c r="V35" s="199"/>
      <c r="W35" s="2490"/>
      <c r="X35" s="2226"/>
      <c r="Y35" s="199">
        <v>11.6</v>
      </c>
      <c r="Z35" s="199" t="s">
        <v>16</v>
      </c>
      <c r="AA35" s="199">
        <f>+'Exh F'!AF104+'Exhibit G state'!AH96</f>
        <v>285.10000000000002</v>
      </c>
      <c r="AB35" s="168"/>
      <c r="AC35" s="2273"/>
      <c r="AD35" s="53">
        <f t="shared" si="6"/>
        <v>-25.4</v>
      </c>
      <c r="AE35" s="2"/>
      <c r="AF35" s="45">
        <f t="shared" si="7"/>
        <v>-8.8999999999999996E-2</v>
      </c>
    </row>
    <row r="36" spans="1:32" ht="18" customHeight="1">
      <c r="A36" s="1867" t="s">
        <v>35</v>
      </c>
      <c r="B36" s="160"/>
      <c r="C36" s="160"/>
      <c r="D36" s="1152">
        <f>+'Exhibit A'!D33</f>
        <v>0</v>
      </c>
      <c r="E36" s="174"/>
      <c r="F36" s="191">
        <f>+'Exhibit A'!F33</f>
        <v>48.7</v>
      </c>
      <c r="G36" s="174"/>
      <c r="H36" s="1152">
        <f>+'Exhibit G state'!P97</f>
        <v>333.6</v>
      </c>
      <c r="I36" s="174"/>
      <c r="J36" s="191">
        <f>+'Exhibit G state'!AE97</f>
        <v>2577.5</v>
      </c>
      <c r="K36" s="174"/>
      <c r="L36" s="1144">
        <f>+'Exhibit A'!L33</f>
        <v>0</v>
      </c>
      <c r="M36" s="174"/>
      <c r="N36" s="179">
        <f>+'Exhibit A'!N33</f>
        <v>0</v>
      </c>
      <c r="O36" s="182"/>
      <c r="P36" s="2223"/>
      <c r="Q36" s="183"/>
      <c r="R36" s="193">
        <f>ROUND(SUM(D36+H36+L36),1)</f>
        <v>333.6</v>
      </c>
      <c r="S36" s="177"/>
      <c r="T36" s="193">
        <f>ROUND(SUM(F36+J36+N36),1)</f>
        <v>2626.2</v>
      </c>
      <c r="U36" s="199"/>
      <c r="V36" s="199"/>
      <c r="W36" s="2490"/>
      <c r="X36" s="2226"/>
      <c r="Y36" s="3113">
        <v>303.39999999999998</v>
      </c>
      <c r="Z36" s="199" t="s">
        <v>16</v>
      </c>
      <c r="AA36" s="2496">
        <f>+'Exh F'!AF105+'Exhibit G state'!AH97</f>
        <v>2627.2000000000003</v>
      </c>
      <c r="AB36" s="168"/>
      <c r="AC36" s="2273"/>
      <c r="AD36" s="53">
        <f t="shared" si="6"/>
        <v>-1</v>
      </c>
      <c r="AE36" s="2"/>
      <c r="AF36" s="45">
        <f t="shared" si="7"/>
        <v>0</v>
      </c>
    </row>
    <row r="37" spans="1:32" ht="18" customHeight="1">
      <c r="A37" s="159" t="s">
        <v>36</v>
      </c>
      <c r="B37" s="160"/>
      <c r="C37" s="160"/>
      <c r="D37" s="186">
        <f>ROUND(SUM(D27:D36),1)</f>
        <v>2644.2</v>
      </c>
      <c r="E37" s="187"/>
      <c r="F37" s="186">
        <f>ROUND(SUM(F27:F36),1)</f>
        <v>21061.8</v>
      </c>
      <c r="G37" s="187"/>
      <c r="H37" s="186">
        <f>ROUND(SUM(H27:H36),1)</f>
        <v>1336.1</v>
      </c>
      <c r="I37" s="187"/>
      <c r="J37" s="186">
        <f>ROUND(SUM(J27:J36),1)</f>
        <v>10439.1</v>
      </c>
      <c r="K37" s="187"/>
      <c r="L37" s="194">
        <f>ROUND(SUM(L27:L36),1)</f>
        <v>0</v>
      </c>
      <c r="M37" s="187"/>
      <c r="N37" s="195">
        <f>ROUND(SUM(N27:N36),1)</f>
        <v>0</v>
      </c>
      <c r="O37" s="196"/>
      <c r="P37" s="2224"/>
      <c r="Q37" s="197"/>
      <c r="R37" s="186">
        <f>ROUND(SUM(R27:R36),1)</f>
        <v>3980.3</v>
      </c>
      <c r="S37" s="196"/>
      <c r="T37" s="186">
        <f>ROUND(SUM(T27:T36),1)</f>
        <v>31500.9</v>
      </c>
      <c r="U37" s="208"/>
      <c r="V37" s="208"/>
      <c r="W37" s="2497"/>
      <c r="X37" s="2498"/>
      <c r="Y37" s="2493">
        <f>ROUND(SUM(Y27:Y36),1)</f>
        <v>3838.9</v>
      </c>
      <c r="Z37" s="204"/>
      <c r="AA37" s="2493">
        <f>ROUND(SUM(AA27:AA36),1)</f>
        <v>30269.5</v>
      </c>
      <c r="AB37" s="209"/>
      <c r="AC37" s="2275"/>
      <c r="AD37" s="2494">
        <f>ROUND(SUM(AD27:AD36),1)</f>
        <v>1231.4000000000001</v>
      </c>
      <c r="AE37" s="73"/>
      <c r="AF37" s="74">
        <f>ROUND(+AD37/AA37,3)</f>
        <v>4.1000000000000002E-2</v>
      </c>
    </row>
    <row r="38" spans="1:32" ht="18" customHeight="1">
      <c r="A38" s="160" t="s">
        <v>37</v>
      </c>
      <c r="B38" s="192"/>
      <c r="C38" s="160"/>
      <c r="D38" s="1142"/>
      <c r="E38" s="174"/>
      <c r="F38" s="174"/>
      <c r="G38" s="174"/>
      <c r="H38" s="1142"/>
      <c r="I38" s="174"/>
      <c r="J38" s="174"/>
      <c r="K38" s="174"/>
      <c r="L38" s="1142"/>
      <c r="M38" s="174"/>
      <c r="N38" s="174"/>
      <c r="O38" s="175"/>
      <c r="P38" s="2222"/>
      <c r="Q38" s="176"/>
      <c r="R38" s="174"/>
      <c r="S38" s="174"/>
      <c r="T38" s="174"/>
      <c r="U38" s="199"/>
      <c r="V38" s="199"/>
      <c r="W38" s="2227"/>
      <c r="X38" s="199"/>
      <c r="Y38" s="199"/>
      <c r="Z38" s="199"/>
      <c r="AA38" s="199"/>
      <c r="AB38" s="168"/>
      <c r="AC38" s="2273"/>
      <c r="AD38" s="53"/>
      <c r="AE38" s="2"/>
      <c r="AF38" s="19"/>
    </row>
    <row r="39" spans="1:32" ht="18" customHeight="1">
      <c r="A39" s="160" t="s">
        <v>38</v>
      </c>
      <c r="B39" s="184"/>
      <c r="C39" s="160"/>
      <c r="D39" s="1142">
        <f>+'Exhibit A'!D36</f>
        <v>526.20000000000005</v>
      </c>
      <c r="E39" s="174"/>
      <c r="F39" s="191">
        <f>+'Exhibit A'!F36</f>
        <v>3451.1</v>
      </c>
      <c r="G39" s="174"/>
      <c r="H39" s="1142">
        <f>+'Exhibit G state'!P100</f>
        <v>602.20000000000005</v>
      </c>
      <c r="I39" s="174"/>
      <c r="J39" s="191">
        <f>+'Exhibit G state'!AE100</f>
        <v>3967.9</v>
      </c>
      <c r="K39" s="174"/>
      <c r="L39" s="1145">
        <f>+'Exhibit A'!L36</f>
        <v>0</v>
      </c>
      <c r="M39" s="177"/>
      <c r="N39" s="179">
        <f>+'Exhibit A'!N36</f>
        <v>0</v>
      </c>
      <c r="O39" s="182"/>
      <c r="P39" s="2223"/>
      <c r="Q39" s="183"/>
      <c r="R39" s="177">
        <f>ROUND(SUM(D39+H39+L39),1)</f>
        <v>1128.4000000000001</v>
      </c>
      <c r="S39" s="179"/>
      <c r="T39" s="174">
        <f>ROUND(SUM(F39+J39+N39),1)</f>
        <v>7419</v>
      </c>
      <c r="U39" s="199"/>
      <c r="V39" s="199"/>
      <c r="W39" s="2490"/>
      <c r="X39" s="2226"/>
      <c r="Y39" s="199">
        <v>1108.5</v>
      </c>
      <c r="Z39" s="199" t="s">
        <v>16</v>
      </c>
      <c r="AA39" s="199">
        <f>+'Exh F'!AF108+'Exhibit G state'!AH100</f>
        <v>7351.5</v>
      </c>
      <c r="AB39" s="168"/>
      <c r="AC39" s="2273"/>
      <c r="AD39" s="53">
        <f t="shared" ref="AD39:AD44" si="8">ROUND(SUM(T39-AA39),1)</f>
        <v>67.5</v>
      </c>
      <c r="AE39" s="2"/>
      <c r="AF39" s="45">
        <f t="shared" ref="AF39:AF44" si="9">ROUND(+AD39/AA39,3)</f>
        <v>8.9999999999999993E-3</v>
      </c>
    </row>
    <row r="40" spans="1:32" ht="18" customHeight="1">
      <c r="A40" s="160" t="s">
        <v>39</v>
      </c>
      <c r="B40" s="192"/>
      <c r="C40" s="160"/>
      <c r="D40" s="1142">
        <f>+'Exhibit A'!D37</f>
        <v>171.3</v>
      </c>
      <c r="E40" s="174"/>
      <c r="F40" s="191">
        <f>+'Exhibit A'!F37</f>
        <v>978.8</v>
      </c>
      <c r="G40" s="174"/>
      <c r="H40" s="1142">
        <f>+'Exhibit G state'!P101</f>
        <v>348.7</v>
      </c>
      <c r="I40" s="174"/>
      <c r="J40" s="191">
        <f>+'Exhibit G state'!AE101</f>
        <v>2045.8</v>
      </c>
      <c r="K40" s="174"/>
      <c r="L40" s="1145">
        <f>+'Exhibit A'!L37</f>
        <v>0.9</v>
      </c>
      <c r="M40" s="177"/>
      <c r="N40" s="179">
        <f>+'Exhibit A'!N37</f>
        <v>21.6</v>
      </c>
      <c r="O40" s="175"/>
      <c r="P40" s="2222"/>
      <c r="Q40" s="176"/>
      <c r="R40" s="177">
        <f>ROUND(SUM(D40+H40+L40),1)</f>
        <v>520.9</v>
      </c>
      <c r="S40" s="179"/>
      <c r="T40" s="174">
        <f>ROUND(SUM(F40+J40+N40),1)</f>
        <v>3046.2</v>
      </c>
      <c r="U40" s="199"/>
      <c r="V40" s="199"/>
      <c r="W40" s="2227"/>
      <c r="X40" s="199"/>
      <c r="Y40" s="199">
        <v>461.5</v>
      </c>
      <c r="Z40" s="199" t="s">
        <v>16</v>
      </c>
      <c r="AA40" s="199">
        <f>+'Exh F'!AF109+'Exhibit G state'!AH101+'Exhibit H'!AD48</f>
        <v>3050.5</v>
      </c>
      <c r="AB40" s="168"/>
      <c r="AC40" s="2273"/>
      <c r="AD40" s="53">
        <f t="shared" si="8"/>
        <v>-4.3</v>
      </c>
      <c r="AE40" s="2"/>
      <c r="AF40" s="45">
        <f t="shared" si="9"/>
        <v>-1E-3</v>
      </c>
    </row>
    <row r="41" spans="1:32" ht="18" customHeight="1">
      <c r="A41" s="160" t="s">
        <v>40</v>
      </c>
      <c r="B41" s="169"/>
      <c r="C41" s="160"/>
      <c r="D41" s="1142">
        <f>+'Exhibit A'!D38</f>
        <v>406.1</v>
      </c>
      <c r="E41" s="174"/>
      <c r="F41" s="191">
        <f>+'Exhibit A'!F38</f>
        <v>3895.8</v>
      </c>
      <c r="G41" s="174"/>
      <c r="H41" s="1142">
        <f>+'Exhibit G state'!P102</f>
        <v>71.7</v>
      </c>
      <c r="I41" s="174"/>
      <c r="J41" s="191">
        <f>+'Exhibit G state'!AE102</f>
        <v>1020.5</v>
      </c>
      <c r="K41" s="174"/>
      <c r="L41" s="1145">
        <f>+'Exhibit A'!L38</f>
        <v>0</v>
      </c>
      <c r="M41" s="174"/>
      <c r="N41" s="179">
        <f>+'Exhibit A'!N38</f>
        <v>0</v>
      </c>
      <c r="O41" s="182"/>
      <c r="P41" s="2223"/>
      <c r="Q41" s="183"/>
      <c r="R41" s="177">
        <f>ROUND(SUM(D41+H41+L41),1)</f>
        <v>477.8</v>
      </c>
      <c r="S41" s="179"/>
      <c r="T41" s="174">
        <f>ROUND(SUM(F41+J41+N41),1)</f>
        <v>4916.3</v>
      </c>
      <c r="U41" s="199"/>
      <c r="V41" s="199"/>
      <c r="W41" s="2490"/>
      <c r="X41" s="2226"/>
      <c r="Y41" s="199">
        <v>702.1</v>
      </c>
      <c r="Z41" s="199" t="s">
        <v>16</v>
      </c>
      <c r="AA41" s="199">
        <f>+'Exh F'!AF110+'Exhibit G state'!AH102</f>
        <v>3991.6000000000004</v>
      </c>
      <c r="AB41" s="168"/>
      <c r="AC41" s="2273"/>
      <c r="AD41" s="53">
        <f t="shared" si="8"/>
        <v>924.7</v>
      </c>
      <c r="AE41" s="2"/>
      <c r="AF41" s="45">
        <f t="shared" si="9"/>
        <v>0.23200000000000001</v>
      </c>
    </row>
    <row r="42" spans="1:32" ht="18" customHeight="1">
      <c r="A42" s="160" t="s">
        <v>41</v>
      </c>
      <c r="B42" s="160"/>
      <c r="C42" s="160"/>
      <c r="D42" s="1142"/>
      <c r="E42" s="174"/>
      <c r="F42" s="174"/>
      <c r="G42" s="174"/>
      <c r="H42" s="1142"/>
      <c r="I42" s="174"/>
      <c r="J42" s="174"/>
      <c r="K42" s="174"/>
      <c r="L42" s="1142"/>
      <c r="M42" s="174"/>
      <c r="N42" s="174"/>
      <c r="O42" s="175"/>
      <c r="P42" s="2222"/>
      <c r="Q42" s="176"/>
      <c r="R42" s="1154" t="s">
        <v>16</v>
      </c>
      <c r="S42" s="174"/>
      <c r="T42" s="1142" t="s">
        <v>16</v>
      </c>
      <c r="U42" s="199"/>
      <c r="V42" s="199"/>
      <c r="W42" s="2227"/>
      <c r="X42" s="199"/>
      <c r="Y42" s="1147"/>
      <c r="Z42" s="199"/>
      <c r="AA42" s="1147" t="s">
        <v>16</v>
      </c>
      <c r="AB42" s="168"/>
      <c r="AC42" s="2273"/>
      <c r="AD42" s="53"/>
      <c r="AE42" s="2"/>
      <c r="AF42" s="45"/>
    </row>
    <row r="43" spans="1:32" ht="18" customHeight="1">
      <c r="A43" s="160" t="s">
        <v>42</v>
      </c>
      <c r="B43" s="184"/>
      <c r="C43" s="160"/>
      <c r="D43" s="1145">
        <v>0</v>
      </c>
      <c r="E43" s="174"/>
      <c r="F43" s="179">
        <v>0</v>
      </c>
      <c r="G43" s="174"/>
      <c r="H43" s="1145">
        <v>0</v>
      </c>
      <c r="I43" s="174"/>
      <c r="J43" s="179">
        <v>0</v>
      </c>
      <c r="K43" s="174"/>
      <c r="L43" s="1145">
        <f>+'Exhibit A'!L40</f>
        <v>144.6</v>
      </c>
      <c r="M43" s="177"/>
      <c r="N43" s="179">
        <f>+'Exhibit A'!N40</f>
        <v>2052.3000000000002</v>
      </c>
      <c r="O43" s="175"/>
      <c r="P43" s="2222"/>
      <c r="Q43" s="176"/>
      <c r="R43" s="177">
        <f>ROUND(SUM(D43+H43+L43),1)</f>
        <v>144.6</v>
      </c>
      <c r="S43" s="174"/>
      <c r="T43" s="174">
        <f>ROUND(SUM(F43+J43+N43),1)</f>
        <v>2052.3000000000002</v>
      </c>
      <c r="U43" s="199"/>
      <c r="V43" s="199"/>
      <c r="W43" s="2227"/>
      <c r="X43" s="199"/>
      <c r="Y43" s="199">
        <v>219.3</v>
      </c>
      <c r="Z43" s="199" t="s">
        <v>16</v>
      </c>
      <c r="AA43" s="199">
        <f>+'Exhibit H'!AD50</f>
        <v>2305.4</v>
      </c>
      <c r="AB43" s="168"/>
      <c r="AC43" s="2273"/>
      <c r="AD43" s="53">
        <f t="shared" si="8"/>
        <v>-253.1</v>
      </c>
      <c r="AE43" s="2"/>
      <c r="AF43" s="45">
        <f t="shared" si="9"/>
        <v>-0.11</v>
      </c>
    </row>
    <row r="44" spans="1:32" ht="18" customHeight="1">
      <c r="A44" s="160" t="s">
        <v>43</v>
      </c>
      <c r="B44" s="184" t="s">
        <v>1301</v>
      </c>
      <c r="C44" s="160"/>
      <c r="D44" s="1153">
        <v>0</v>
      </c>
      <c r="E44" s="177"/>
      <c r="F44" s="182">
        <v>0</v>
      </c>
      <c r="G44" s="174"/>
      <c r="H44" s="1142">
        <f>+'Exhibit G state'!P103</f>
        <v>0.1</v>
      </c>
      <c r="I44" s="174"/>
      <c r="J44" s="191">
        <f>+'Exhibit G state'!AE103</f>
        <v>1</v>
      </c>
      <c r="K44" s="174"/>
      <c r="L44" s="1145">
        <f>+'Exhibit A'!L41</f>
        <v>0</v>
      </c>
      <c r="M44" s="179"/>
      <c r="N44" s="179">
        <f>+'Exhibit A'!N41</f>
        <v>0</v>
      </c>
      <c r="O44" s="182"/>
      <c r="P44" s="2223"/>
      <c r="Q44" s="183"/>
      <c r="R44" s="174">
        <f>ROUND(SUM(D44+H44+L44),1)</f>
        <v>0.1</v>
      </c>
      <c r="S44" s="182"/>
      <c r="T44" s="174">
        <f>ROUND(SUM(F44+J44+N44),1)</f>
        <v>1</v>
      </c>
      <c r="U44" s="199"/>
      <c r="V44" s="199"/>
      <c r="W44" s="2490"/>
      <c r="X44" s="2491"/>
      <c r="Y44" s="1147">
        <v>0.3</v>
      </c>
      <c r="Z44" s="199" t="s">
        <v>16</v>
      </c>
      <c r="AA44" s="199">
        <f>+'Exhibit G state'!AH103</f>
        <v>4.9000000000000004</v>
      </c>
      <c r="AB44" s="168"/>
      <c r="AC44" s="2273"/>
      <c r="AD44" s="53">
        <f t="shared" si="8"/>
        <v>-3.9</v>
      </c>
      <c r="AE44" s="2"/>
      <c r="AF44" s="45">
        <f t="shared" si="9"/>
        <v>-0.79600000000000004</v>
      </c>
    </row>
    <row r="45" spans="1:32" ht="18" customHeight="1">
      <c r="A45" s="159" t="s">
        <v>61</v>
      </c>
      <c r="B45" s="160"/>
      <c r="C45" s="160"/>
      <c r="D45" s="186">
        <f>ROUND(SUM(+D39+D40+D41+D37),1)</f>
        <v>3747.8</v>
      </c>
      <c r="E45" s="187"/>
      <c r="F45" s="186">
        <f>ROUND(SUM(+F39+F40+F41+F37),1)</f>
        <v>29387.5</v>
      </c>
      <c r="G45" s="187"/>
      <c r="H45" s="186">
        <f>ROUND(SUM(H37:H44),1)</f>
        <v>2358.8000000000002</v>
      </c>
      <c r="I45" s="187"/>
      <c r="J45" s="186">
        <f>ROUND(SUM(J37:J44),1)</f>
        <v>17474.3</v>
      </c>
      <c r="K45" s="187"/>
      <c r="L45" s="186">
        <f>ROUND(SUM(L37:L44),1)</f>
        <v>145.5</v>
      </c>
      <c r="M45" s="187"/>
      <c r="N45" s="186">
        <f>ROUND(SUM(N37:N44),1)</f>
        <v>2073.9</v>
      </c>
      <c r="O45" s="189"/>
      <c r="P45" s="206"/>
      <c r="Q45" s="190"/>
      <c r="R45" s="186">
        <f>ROUND(SUM(R37:R44),1)</f>
        <v>6252.1</v>
      </c>
      <c r="S45" s="189"/>
      <c r="T45" s="186">
        <f>ROUND(SUM(T37:T44),1)</f>
        <v>48935.7</v>
      </c>
      <c r="U45" s="208"/>
      <c r="V45" s="208"/>
      <c r="W45" s="2492"/>
      <c r="X45" s="208"/>
      <c r="Y45" s="2493">
        <f>ROUND(SUM(Y37:Y44),1)</f>
        <v>6330.6</v>
      </c>
      <c r="Z45" s="204"/>
      <c r="AA45" s="2493">
        <f>ROUND(SUM(AA37:AA44),1)</f>
        <v>46973.4</v>
      </c>
      <c r="AB45" s="209"/>
      <c r="AC45" s="2275"/>
      <c r="AD45" s="2494">
        <f>ROUND(SUM(AD37:AD44),1)</f>
        <v>1962.3</v>
      </c>
      <c r="AE45" s="73"/>
      <c r="AF45" s="74">
        <f>ROUND(+AD45/AA45,3)</f>
        <v>4.2000000000000003E-2</v>
      </c>
    </row>
    <row r="46" spans="1:32" ht="15.95" customHeight="1">
      <c r="A46" s="159"/>
      <c r="B46" s="160"/>
      <c r="C46" s="160"/>
      <c r="D46" s="1143"/>
      <c r="E46" s="174"/>
      <c r="F46" s="175"/>
      <c r="G46" s="174"/>
      <c r="H46" s="1143"/>
      <c r="I46" s="174"/>
      <c r="J46" s="175"/>
      <c r="K46" s="174"/>
      <c r="L46" s="1143"/>
      <c r="M46" s="174"/>
      <c r="N46" s="175"/>
      <c r="O46" s="175"/>
      <c r="P46" s="2222"/>
      <c r="Q46" s="176"/>
      <c r="R46" s="175"/>
      <c r="S46" s="175"/>
      <c r="T46" s="175"/>
      <c r="U46" s="201"/>
      <c r="V46" s="201"/>
      <c r="W46" s="2227"/>
      <c r="X46" s="201"/>
      <c r="Y46" s="201"/>
      <c r="Z46" s="199"/>
      <c r="AA46" s="201"/>
      <c r="AB46" s="168"/>
      <c r="AC46" s="2273"/>
      <c r="AD46" s="54"/>
      <c r="AE46" s="2"/>
      <c r="AF46" s="19"/>
    </row>
    <row r="47" spans="1:32" ht="15.95" customHeight="1">
      <c r="A47" s="159" t="s">
        <v>45</v>
      </c>
      <c r="B47" s="159"/>
      <c r="C47" s="160"/>
      <c r="D47" s="1142"/>
      <c r="E47" s="174"/>
      <c r="F47" s="174"/>
      <c r="G47" s="174"/>
      <c r="H47" s="1142"/>
      <c r="I47" s="174"/>
      <c r="J47" s="174"/>
      <c r="K47" s="174"/>
      <c r="L47" s="1142"/>
      <c r="M47" s="174"/>
      <c r="N47" s="174"/>
      <c r="O47" s="175"/>
      <c r="P47" s="2222"/>
      <c r="Q47" s="176"/>
      <c r="R47" s="174"/>
      <c r="S47" s="174"/>
      <c r="T47" s="174"/>
      <c r="U47" s="199"/>
      <c r="V47" s="199"/>
      <c r="W47" s="2227"/>
      <c r="X47" s="199"/>
      <c r="Y47" s="199"/>
      <c r="Z47" s="199"/>
      <c r="AA47" s="199"/>
      <c r="AB47" s="168"/>
      <c r="AC47" s="2273"/>
      <c r="AD47" s="53"/>
      <c r="AE47" s="2"/>
      <c r="AF47" s="19"/>
    </row>
    <row r="48" spans="1:32" ht="15.95" customHeight="1">
      <c r="A48" s="159" t="s">
        <v>46</v>
      </c>
      <c r="B48" s="159"/>
      <c r="C48" s="160"/>
      <c r="D48" s="198">
        <f>ROUND(SUM(D23-D45),1)</f>
        <v>-665.7</v>
      </c>
      <c r="E48" s="187"/>
      <c r="F48" s="198">
        <f>ROUND(SUM(F23-F45),1)</f>
        <v>749.5</v>
      </c>
      <c r="G48" s="187"/>
      <c r="H48" s="198">
        <f>ROUND(SUM(H23-H45),1)</f>
        <v>-561.5</v>
      </c>
      <c r="I48" s="187"/>
      <c r="J48" s="198">
        <f>ROUND(SUM(J23-J45),1)</f>
        <v>-4721.7</v>
      </c>
      <c r="K48" s="187"/>
      <c r="L48" s="198">
        <f>ROUND(SUM(L23-L45),1)</f>
        <v>1053.7</v>
      </c>
      <c r="M48" s="187" t="s">
        <v>16</v>
      </c>
      <c r="N48" s="198">
        <f>ROUND(SUM(N23-N45),1)</f>
        <v>8166.4</v>
      </c>
      <c r="O48" s="189"/>
      <c r="P48" s="206"/>
      <c r="Q48" s="190"/>
      <c r="R48" s="198">
        <f>ROUND(SUM(+R23-R45),1)</f>
        <v>-173.5</v>
      </c>
      <c r="S48" s="189"/>
      <c r="T48" s="198">
        <f>ROUND(SUM(+T23-T45),1)</f>
        <v>4194.2</v>
      </c>
      <c r="U48" s="208"/>
      <c r="V48" s="208"/>
      <c r="W48" s="2492"/>
      <c r="X48" s="208"/>
      <c r="Y48" s="2387">
        <f>ROUND(SUM(Y23-Y45),1)</f>
        <v>-748.6</v>
      </c>
      <c r="Z48" s="204" t="s">
        <v>16</v>
      </c>
      <c r="AA48" s="2387">
        <f>ROUND(SUM(AA23-AA45),1)</f>
        <v>2656.4</v>
      </c>
      <c r="AB48" s="209"/>
      <c r="AC48" s="2275"/>
      <c r="AD48" s="2387">
        <f>ROUND(SUM(AD23-AD45),1)</f>
        <v>1537.8</v>
      </c>
      <c r="AE48" s="96"/>
      <c r="AF48" s="2230">
        <f>ROUND(+AD48/AA48,3)</f>
        <v>0.57899999999999996</v>
      </c>
    </row>
    <row r="49" spans="1:32" ht="15.95" customHeight="1">
      <c r="A49" s="160"/>
      <c r="B49" s="160"/>
      <c r="C49" s="160"/>
      <c r="D49" s="1143"/>
      <c r="E49" s="174"/>
      <c r="F49" s="175"/>
      <c r="G49" s="174"/>
      <c r="H49" s="1143"/>
      <c r="I49" s="174"/>
      <c r="J49" s="175"/>
      <c r="K49" s="174"/>
      <c r="L49" s="1143"/>
      <c r="M49" s="174"/>
      <c r="N49" s="175"/>
      <c r="O49" s="175"/>
      <c r="P49" s="2222"/>
      <c r="Q49" s="176"/>
      <c r="R49" s="175"/>
      <c r="S49" s="175"/>
      <c r="T49" s="175"/>
      <c r="U49" s="201"/>
      <c r="V49" s="201"/>
      <c r="W49" s="2227"/>
      <c r="X49" s="201"/>
      <c r="Y49" s="201"/>
      <c r="Z49" s="199"/>
      <c r="AA49" s="201"/>
      <c r="AB49" s="168"/>
      <c r="AC49" s="2273"/>
      <c r="AD49" s="54"/>
      <c r="AE49" s="2"/>
      <c r="AF49" s="19"/>
    </row>
    <row r="50" spans="1:32" ht="15.95" customHeight="1">
      <c r="A50" s="159" t="s">
        <v>47</v>
      </c>
      <c r="B50" s="159"/>
      <c r="C50" s="160"/>
      <c r="D50" s="1142"/>
      <c r="E50" s="174"/>
      <c r="F50" s="174"/>
      <c r="G50" s="174"/>
      <c r="H50" s="1142"/>
      <c r="I50" s="174"/>
      <c r="J50" s="174"/>
      <c r="K50" s="174"/>
      <c r="L50" s="1142"/>
      <c r="M50" s="174"/>
      <c r="N50" s="174"/>
      <c r="O50" s="175"/>
      <c r="P50" s="2222"/>
      <c r="Q50" s="176"/>
      <c r="R50" s="174"/>
      <c r="S50" s="174"/>
      <c r="T50" s="174"/>
      <c r="U50" s="199"/>
      <c r="V50" s="199"/>
      <c r="W50" s="2227"/>
      <c r="X50" s="199"/>
      <c r="Y50" s="199"/>
      <c r="Z50" s="199"/>
      <c r="AA50" s="199"/>
      <c r="AB50" s="168"/>
      <c r="AC50" s="2273"/>
      <c r="AD50" s="53"/>
      <c r="AE50" s="2"/>
      <c r="AF50" s="19"/>
    </row>
    <row r="51" spans="1:32" ht="18" customHeight="1">
      <c r="A51" s="180" t="s">
        <v>49</v>
      </c>
      <c r="B51" s="200" t="s">
        <v>50</v>
      </c>
      <c r="C51" s="180"/>
      <c r="D51" s="1147">
        <f>+'Exhibit A'!D49</f>
        <v>958.99999999999989</v>
      </c>
      <c r="E51" s="174"/>
      <c r="F51" s="174">
        <f>+'Exhibit A'!F49</f>
        <v>9288.2999999999993</v>
      </c>
      <c r="G51" s="199"/>
      <c r="H51" s="1147">
        <f>+'Exhibit G state'!P111</f>
        <v>355</v>
      </c>
      <c r="I51" s="199"/>
      <c r="J51" s="174">
        <f>+'Exhibit G state'!AE111-'Exhibit G state'!AB111</f>
        <v>4674.3</v>
      </c>
      <c r="K51" s="201"/>
      <c r="L51" s="1146">
        <f>+'Exhibit A'!L49</f>
        <v>533</v>
      </c>
      <c r="M51" s="201"/>
      <c r="N51" s="182">
        <f>+'Exhibit A'!N49</f>
        <v>2304.3000000000002</v>
      </c>
      <c r="O51" s="175"/>
      <c r="P51" s="2222"/>
      <c r="Q51" s="176"/>
      <c r="R51" s="179">
        <f>ROUND(SUM(L51+H51+D51),1)</f>
        <v>1847</v>
      </c>
      <c r="S51" s="174"/>
      <c r="T51" s="179">
        <f>ROUND(SUM(F51+J51+N51),1)</f>
        <v>16266.9</v>
      </c>
      <c r="U51" s="199"/>
      <c r="V51" s="199"/>
      <c r="W51" s="2227"/>
      <c r="X51" s="199"/>
      <c r="Y51" s="199">
        <v>2264.5</v>
      </c>
      <c r="Z51" s="199" t="s">
        <v>16</v>
      </c>
      <c r="AA51" s="199">
        <v>17225.5</v>
      </c>
      <c r="AB51" s="168"/>
      <c r="AC51" s="2273"/>
      <c r="AD51" s="53">
        <f>ROUND(SUM(T51-AA51),1)</f>
        <v>-958.6</v>
      </c>
      <c r="AE51" s="101"/>
      <c r="AF51" s="45">
        <f>ROUND(SUM(+AD51/AA51),3)</f>
        <v>-5.6000000000000001E-2</v>
      </c>
    </row>
    <row r="52" spans="1:32" ht="18" customHeight="1">
      <c r="A52" s="180" t="s">
        <v>51</v>
      </c>
      <c r="B52" s="200" t="s">
        <v>50</v>
      </c>
      <c r="C52" s="180"/>
      <c r="D52" s="1147">
        <f>+'Exhibit A'!D50</f>
        <v>-631.59999999999991</v>
      </c>
      <c r="E52" s="199"/>
      <c r="F52" s="174">
        <f>+'Exhibit A'!F50</f>
        <v>-4558.5</v>
      </c>
      <c r="G52" s="199"/>
      <c r="H52" s="1147">
        <f>+'Exhibit G state'!P112</f>
        <v>-21.6</v>
      </c>
      <c r="I52" s="199"/>
      <c r="J52" s="177">
        <f>'Exhibit G state'!AE112</f>
        <v>-332.7</v>
      </c>
      <c r="K52" s="199"/>
      <c r="L52" s="1146">
        <f>+'Exhibit A'!L50</f>
        <v>-1039.7</v>
      </c>
      <c r="M52" s="201"/>
      <c r="N52" s="182">
        <f>+'Exhibit A'!N50</f>
        <v>-9852</v>
      </c>
      <c r="O52" s="201"/>
      <c r="P52" s="2222"/>
      <c r="Q52" s="202"/>
      <c r="R52" s="177">
        <f>ROUND(SUM(D52+H52+L52),1)</f>
        <v>-1692.9</v>
      </c>
      <c r="S52" s="201"/>
      <c r="T52" s="174">
        <f>ROUND(SUM(F52+J52+N52),1)</f>
        <v>-14743.2</v>
      </c>
      <c r="U52" s="199"/>
      <c r="V52" s="199"/>
      <c r="W52" s="2227"/>
      <c r="X52" s="201"/>
      <c r="Y52" s="199">
        <v>-1829.5</v>
      </c>
      <c r="Z52" s="199" t="s">
        <v>16</v>
      </c>
      <c r="AA52" s="199">
        <v>-15484.9</v>
      </c>
      <c r="AB52" s="168"/>
      <c r="AC52" s="2273"/>
      <c r="AD52" s="53">
        <f>ROUND(SUM(T52-AA52),1)</f>
        <v>741.7</v>
      </c>
      <c r="AE52" s="2"/>
      <c r="AF52" s="108">
        <f>ROUND(SUM(-AD52/AA52),3)</f>
        <v>4.8000000000000001E-2</v>
      </c>
    </row>
    <row r="53" spans="1:32" ht="18" customHeight="1">
      <c r="A53" s="159" t="s">
        <v>52</v>
      </c>
      <c r="B53" s="159"/>
      <c r="C53" s="160"/>
      <c r="D53" s="186">
        <f>ROUND(SUM(D51:D52),1)</f>
        <v>327.39999999999998</v>
      </c>
      <c r="E53" s="187"/>
      <c r="F53" s="186">
        <f>ROUND(SUM(F51:F52),1)</f>
        <v>4729.8</v>
      </c>
      <c r="G53" s="187"/>
      <c r="H53" s="186">
        <f>ROUND(SUM(H51:H52),1)</f>
        <v>333.4</v>
      </c>
      <c r="I53" s="187"/>
      <c r="J53" s="186">
        <f>ROUND(SUM(J51:J52),1)</f>
        <v>4341.6000000000004</v>
      </c>
      <c r="K53" s="187"/>
      <c r="L53" s="186">
        <f>ROUND(SUM(L51:L52),1)</f>
        <v>-506.7</v>
      </c>
      <c r="M53" s="187"/>
      <c r="N53" s="186">
        <f>ROUND(SUM(N51:N52),1)</f>
        <v>-7547.7</v>
      </c>
      <c r="O53" s="189"/>
      <c r="P53" s="206"/>
      <c r="Q53" s="190"/>
      <c r="R53" s="186">
        <f>ROUND(SUM(R51:R52),1)</f>
        <v>154.1</v>
      </c>
      <c r="S53" s="189"/>
      <c r="T53" s="186">
        <f>ROUND(SUM(T51:T52),1)</f>
        <v>1523.7</v>
      </c>
      <c r="U53" s="208"/>
      <c r="V53" s="208"/>
      <c r="W53" s="2492"/>
      <c r="X53" s="208"/>
      <c r="Y53" s="2499">
        <f>ROUND(SUM(+Y51+Y52),1)</f>
        <v>435</v>
      </c>
      <c r="Z53" s="204"/>
      <c r="AA53" s="2499">
        <f>ROUND(SUM(+AA51+AA52),1)</f>
        <v>1740.6</v>
      </c>
      <c r="AB53" s="209"/>
      <c r="AC53" s="2275"/>
      <c r="AD53" s="2499">
        <f>ROUND(SUM(+AD51+AD52),1)</f>
        <v>-216.9</v>
      </c>
      <c r="AE53" s="73"/>
      <c r="AF53" s="111">
        <f>-ROUND(SUM(-AD53/AA53),3)</f>
        <v>-0.125</v>
      </c>
    </row>
    <row r="54" spans="1:32" ht="15.95" customHeight="1">
      <c r="A54" s="160"/>
      <c r="B54" s="160"/>
      <c r="C54" s="160"/>
      <c r="D54" s="1143"/>
      <c r="E54" s="174"/>
      <c r="F54" s="175"/>
      <c r="G54" s="174"/>
      <c r="H54" s="1143"/>
      <c r="I54" s="174"/>
      <c r="J54" s="175"/>
      <c r="K54" s="174"/>
      <c r="L54" s="1143"/>
      <c r="M54" s="174"/>
      <c r="N54" s="175"/>
      <c r="O54" s="175"/>
      <c r="P54" s="2222"/>
      <c r="Q54" s="176"/>
      <c r="R54" s="175"/>
      <c r="S54" s="175"/>
      <c r="T54" s="175"/>
      <c r="U54" s="201"/>
      <c r="V54" s="201"/>
      <c r="W54" s="2227"/>
      <c r="X54" s="201"/>
      <c r="Y54" s="201"/>
      <c r="Z54" s="199"/>
      <c r="AA54" s="201"/>
      <c r="AB54" s="168"/>
      <c r="AC54" s="2273"/>
      <c r="AD54" s="54"/>
      <c r="AE54" s="2"/>
      <c r="AF54" s="19"/>
    </row>
    <row r="55" spans="1:32" ht="18" customHeight="1">
      <c r="A55" s="158" t="s">
        <v>45</v>
      </c>
      <c r="B55" s="159"/>
      <c r="C55" s="160"/>
      <c r="D55" s="1142"/>
      <c r="E55" s="174"/>
      <c r="F55" s="174"/>
      <c r="G55" s="174"/>
      <c r="H55" s="1142"/>
      <c r="I55" s="174"/>
      <c r="J55" s="174"/>
      <c r="K55" s="174"/>
      <c r="L55" s="1142"/>
      <c r="M55" s="174"/>
      <c r="N55" s="174"/>
      <c r="O55" s="175"/>
      <c r="P55" s="2222"/>
      <c r="Q55" s="176"/>
      <c r="R55" s="174"/>
      <c r="S55" s="174"/>
      <c r="T55" s="174"/>
      <c r="U55" s="199"/>
      <c r="V55" s="199"/>
      <c r="W55" s="2227"/>
      <c r="X55" s="199"/>
      <c r="Y55" s="199"/>
      <c r="Z55" s="199"/>
      <c r="AA55" s="199"/>
      <c r="AB55" s="168"/>
      <c r="AC55" s="2273"/>
      <c r="AD55" s="53"/>
      <c r="AE55" s="2"/>
      <c r="AF55" s="112"/>
    </row>
    <row r="56" spans="1:32" ht="18" customHeight="1">
      <c r="A56" s="158" t="s">
        <v>62</v>
      </c>
      <c r="B56" s="158"/>
      <c r="C56" s="180"/>
      <c r="D56" s="1147"/>
      <c r="E56" s="174"/>
      <c r="F56" s="174"/>
      <c r="G56" s="174"/>
      <c r="H56" s="1142"/>
      <c r="I56" s="174"/>
      <c r="J56" s="174"/>
      <c r="K56" s="174"/>
      <c r="L56" s="1142"/>
      <c r="M56" s="174"/>
      <c r="N56" s="174"/>
      <c r="O56" s="175"/>
      <c r="P56" s="2222"/>
      <c r="Q56" s="176"/>
      <c r="R56" s="174"/>
      <c r="S56" s="174"/>
      <c r="T56" s="174"/>
      <c r="U56" s="199"/>
      <c r="V56" s="199"/>
      <c r="W56" s="2227"/>
      <c r="X56" s="199"/>
      <c r="Y56" s="199" t="s">
        <v>16</v>
      </c>
      <c r="Z56" s="199"/>
      <c r="AA56" s="199"/>
      <c r="AB56" s="168"/>
      <c r="AC56" s="2273"/>
      <c r="AD56" s="53"/>
      <c r="AE56" s="2"/>
      <c r="AF56" s="19"/>
    </row>
    <row r="57" spans="1:32" ht="18" customHeight="1">
      <c r="A57" s="158" t="s">
        <v>63</v>
      </c>
      <c r="B57" s="158"/>
      <c r="C57" s="180"/>
      <c r="D57" s="204">
        <f>ROUND(SUM(D48+D53),1)</f>
        <v>-338.3</v>
      </c>
      <c r="E57" s="204"/>
      <c r="F57" s="204">
        <f>ROUND(SUM(F48)+SUM(F53),1)</f>
        <v>5479.3</v>
      </c>
      <c r="G57" s="204"/>
      <c r="H57" s="204">
        <f>ROUND(SUM(H48+H53),1)</f>
        <v>-228.1</v>
      </c>
      <c r="I57" s="204"/>
      <c r="J57" s="204">
        <f>ROUND(SUM(J48)+SUM(J53),1)</f>
        <v>-380.1</v>
      </c>
      <c r="K57" s="204"/>
      <c r="L57" s="204">
        <f>ROUND(SUM(L48+L53),1)</f>
        <v>547</v>
      </c>
      <c r="M57" s="205"/>
      <c r="N57" s="205">
        <f>ROUND(SUM(N48+N53),1)</f>
        <v>618.70000000000005</v>
      </c>
      <c r="O57" s="206"/>
      <c r="P57" s="206"/>
      <c r="Q57" s="207"/>
      <c r="R57" s="205">
        <f>ROUND(SUM(+R48+R53),1)</f>
        <v>-19.399999999999999</v>
      </c>
      <c r="S57" s="205"/>
      <c r="T57" s="205">
        <f>ROUND(SUM(T48+T53),1)</f>
        <v>5717.9</v>
      </c>
      <c r="U57" s="205"/>
      <c r="V57" s="205"/>
      <c r="W57" s="2228"/>
      <c r="X57" s="205"/>
      <c r="Y57" s="204">
        <f>ROUND(SUM(Y48)+SUM(Y53),1)</f>
        <v>-313.60000000000002</v>
      </c>
      <c r="Z57" s="204"/>
      <c r="AA57" s="204">
        <f>ROUND(SUM(AA48)+SUM(AA53),1)</f>
        <v>4397</v>
      </c>
      <c r="AB57" s="209"/>
      <c r="AC57" s="2275"/>
      <c r="AD57" s="71">
        <f>ROUND(SUM(+AD48+AD53),1)</f>
        <v>1320.9</v>
      </c>
      <c r="AE57" s="73"/>
      <c r="AF57" s="117">
        <f>ROUND(SUM(AD57/AA57),3)</f>
        <v>0.3</v>
      </c>
    </row>
    <row r="58" spans="1:32" ht="15.95" customHeight="1">
      <c r="A58" s="159"/>
      <c r="B58" s="159"/>
      <c r="C58" s="160"/>
      <c r="D58" s="1142"/>
      <c r="E58" s="174"/>
      <c r="F58" s="175"/>
      <c r="G58" s="174"/>
      <c r="H58" s="1142"/>
      <c r="I58" s="174"/>
      <c r="J58" s="174"/>
      <c r="K58" s="174"/>
      <c r="L58" s="1147"/>
      <c r="M58" s="199"/>
      <c r="N58" s="199"/>
      <c r="O58" s="201"/>
      <c r="P58" s="2222"/>
      <c r="Q58" s="202"/>
      <c r="R58" s="199"/>
      <c r="S58" s="199"/>
      <c r="T58" s="199"/>
      <c r="U58" s="199"/>
      <c r="V58" s="199"/>
      <c r="W58" s="2227"/>
      <c r="X58" s="199"/>
      <c r="Y58" s="199"/>
      <c r="Z58" s="199"/>
      <c r="AA58" s="199"/>
      <c r="AB58" s="168"/>
      <c r="AC58" s="2273"/>
      <c r="AD58" s="53"/>
      <c r="AE58" s="2"/>
      <c r="AF58" s="19"/>
    </row>
    <row r="59" spans="1:32" ht="18" customHeight="1">
      <c r="A59" s="210" t="s">
        <v>55</v>
      </c>
      <c r="B59" s="185" t="s">
        <v>1302</v>
      </c>
      <c r="C59" s="160"/>
      <c r="D59" s="198">
        <f>+'Exhibit A'!D57</f>
        <v>8052.8</v>
      </c>
      <c r="E59" s="187"/>
      <c r="F59" s="198">
        <f>+'Exhibit A'!F57</f>
        <v>2235.1999999999998</v>
      </c>
      <c r="G59" s="187"/>
      <c r="H59" s="198">
        <v>2336.8000000000002</v>
      </c>
      <c r="I59" s="187"/>
      <c r="J59" s="198">
        <v>2488.8000000000002</v>
      </c>
      <c r="K59" s="187"/>
      <c r="L59" s="198">
        <f>+'Exhibit A'!L57</f>
        <v>136.80000000000001</v>
      </c>
      <c r="M59" s="187"/>
      <c r="N59" s="198">
        <f>+'Exhibit A'!N57</f>
        <v>65.099999999999994</v>
      </c>
      <c r="O59" s="189"/>
      <c r="P59" s="206"/>
      <c r="Q59" s="190"/>
      <c r="R59" s="198">
        <f>ROUND(SUM(D59+H59+L59),1)</f>
        <v>10526.4</v>
      </c>
      <c r="S59" s="189"/>
      <c r="T59" s="198">
        <f>ROUND(SUM(F59+J59+N59),1)</f>
        <v>4789.1000000000004</v>
      </c>
      <c r="U59" s="208"/>
      <c r="V59" s="208"/>
      <c r="W59" s="2492"/>
      <c r="X59" s="208"/>
      <c r="Y59" s="2387">
        <v>9070.1</v>
      </c>
      <c r="Z59" s="204" t="s">
        <v>16</v>
      </c>
      <c r="AA59" s="2387">
        <v>4359.5</v>
      </c>
      <c r="AB59" s="209"/>
      <c r="AC59" s="2275"/>
      <c r="AD59" s="95">
        <f>ROUND(SUM(T59-AA59),1)</f>
        <v>429.6</v>
      </c>
      <c r="AE59" s="73"/>
      <c r="AF59" s="97">
        <f>ROUND(+AD59/AA59,3)</f>
        <v>9.9000000000000005E-2</v>
      </c>
    </row>
    <row r="60" spans="1:32" ht="15.95" customHeight="1">
      <c r="A60" s="180"/>
      <c r="B60" s="160"/>
      <c r="C60" s="160"/>
      <c r="D60" s="1148"/>
      <c r="E60" s="160"/>
      <c r="F60" s="161"/>
      <c r="G60" s="160"/>
      <c r="H60" s="1140"/>
      <c r="I60" s="160"/>
      <c r="J60" s="161"/>
      <c r="K60" s="160"/>
      <c r="L60" s="1148"/>
      <c r="M60" s="160"/>
      <c r="N60" s="161"/>
      <c r="O60" s="161"/>
      <c r="P60" s="2220"/>
      <c r="Q60" s="167"/>
      <c r="R60" s="161"/>
      <c r="S60" s="161"/>
      <c r="T60" s="161"/>
      <c r="U60" s="168"/>
      <c r="V60" s="168"/>
      <c r="W60" s="2487"/>
      <c r="X60" s="168"/>
      <c r="Y60" s="168"/>
      <c r="Z60" s="180"/>
      <c r="AA60" s="168"/>
      <c r="AB60" s="168"/>
      <c r="AC60" s="2273"/>
      <c r="AD60" s="54"/>
      <c r="AE60" s="2"/>
      <c r="AF60" s="19"/>
    </row>
    <row r="61" spans="1:32" ht="18" customHeight="1" thickBot="1">
      <c r="A61" s="211" t="s">
        <v>64</v>
      </c>
      <c r="B61" s="212" t="s">
        <v>16</v>
      </c>
      <c r="C61" s="160"/>
      <c r="D61" s="213">
        <f>ROUND(SUM(D57+D59),1)</f>
        <v>7714.5</v>
      </c>
      <c r="E61" s="214"/>
      <c r="F61" s="213">
        <f>ROUND(SUM(F57+F59),1)</f>
        <v>7714.5</v>
      </c>
      <c r="G61" s="214"/>
      <c r="H61" s="213">
        <f>ROUND(SUM(H57+H59),1)</f>
        <v>2108.6999999999998</v>
      </c>
      <c r="I61" s="214"/>
      <c r="J61" s="213">
        <f>ROUND(SUM(J57)+SUM(J59),1)</f>
        <v>2108.6999999999998</v>
      </c>
      <c r="K61" s="214"/>
      <c r="L61" s="213">
        <f>ROUND(SUM(L57+L59),1)</f>
        <v>683.8</v>
      </c>
      <c r="M61" s="216"/>
      <c r="N61" s="215">
        <f>ROUND(SUM(N57+N59),1)</f>
        <v>683.8</v>
      </c>
      <c r="O61" s="217"/>
      <c r="P61" s="217"/>
      <c r="Q61" s="2650"/>
      <c r="R61" s="215">
        <f>ROUND(SUM(R57+R59),1)</f>
        <v>10507</v>
      </c>
      <c r="S61" s="217"/>
      <c r="T61" s="215">
        <f>ROUND(SUM(T57+T59),1)</f>
        <v>10507</v>
      </c>
      <c r="U61" s="217"/>
      <c r="V61" s="217"/>
      <c r="W61" s="2229"/>
      <c r="X61" s="217"/>
      <c r="Y61" s="213">
        <f>ROUND(SUM(Y57+Y59),1)</f>
        <v>8756.5</v>
      </c>
      <c r="Z61" s="214"/>
      <c r="AA61" s="213">
        <f>ROUND(SUM(AA57+AA59),1)</f>
        <v>8756.5</v>
      </c>
      <c r="AB61" s="218"/>
      <c r="AC61" s="2276"/>
      <c r="AD61" s="122">
        <f>ROUND(SUM(AD57+AD59),1)</f>
        <v>1750.5</v>
      </c>
      <c r="AE61" s="73"/>
      <c r="AF61" s="130">
        <f>ROUND(+AD61/AA61,3)</f>
        <v>0.2</v>
      </c>
    </row>
    <row r="62" spans="1:32" ht="15.75" thickTop="1">
      <c r="A62" s="219"/>
      <c r="B62" s="219"/>
      <c r="C62" s="219"/>
      <c r="D62" s="220"/>
      <c r="E62" s="220"/>
      <c r="F62" s="220"/>
      <c r="G62" s="220"/>
      <c r="H62" s="1234"/>
      <c r="I62" s="220"/>
      <c r="J62" s="220"/>
      <c r="K62" s="220"/>
      <c r="L62" s="220"/>
      <c r="M62" s="220"/>
      <c r="N62" s="220"/>
      <c r="O62" s="220"/>
      <c r="P62" s="2651"/>
      <c r="Q62" s="220"/>
      <c r="R62" s="220"/>
      <c r="S62" s="220"/>
      <c r="T62" s="220"/>
      <c r="U62" s="2272"/>
      <c r="V62" s="2272"/>
      <c r="W62" s="2272"/>
      <c r="X62" s="2272"/>
      <c r="Y62" s="2272"/>
      <c r="Z62" s="2272"/>
      <c r="AA62" s="2272"/>
      <c r="AB62" s="2272"/>
      <c r="AC62" s="2272"/>
      <c r="AD62" s="136"/>
      <c r="AE62" s="2"/>
      <c r="AF62" s="137"/>
    </row>
    <row r="63" spans="1:32">
      <c r="A63" s="157"/>
      <c r="B63" s="157"/>
      <c r="C63" s="157"/>
      <c r="D63" s="157"/>
      <c r="E63" s="157"/>
      <c r="F63" s="157"/>
      <c r="G63" s="157"/>
      <c r="H63" s="1235"/>
      <c r="I63" s="157"/>
      <c r="J63" s="157"/>
      <c r="K63" s="157"/>
      <c r="L63" s="157"/>
      <c r="M63" s="157"/>
      <c r="N63" s="157"/>
      <c r="O63" s="157"/>
      <c r="P63" s="157"/>
      <c r="Q63" s="157"/>
      <c r="R63" s="157"/>
      <c r="S63" s="157"/>
      <c r="T63" s="157"/>
      <c r="U63" s="2215"/>
      <c r="V63" s="2215"/>
      <c r="W63" s="2215"/>
      <c r="X63" s="2215"/>
      <c r="Y63" s="2215"/>
      <c r="Z63" s="2215"/>
      <c r="AA63" s="2215"/>
      <c r="AB63" s="2215"/>
    </row>
    <row r="64" spans="1:32" ht="18" customHeight="1">
      <c r="A64" s="1149" t="s">
        <v>1624</v>
      </c>
      <c r="B64" s="157"/>
      <c r="C64" s="157"/>
      <c r="D64" s="157"/>
      <c r="E64" s="157"/>
      <c r="F64" s="157"/>
      <c r="G64" s="157"/>
      <c r="H64" s="1235"/>
      <c r="I64" s="157"/>
      <c r="J64" s="157"/>
      <c r="K64" s="157"/>
      <c r="L64" s="157"/>
      <c r="M64" s="157"/>
      <c r="N64" s="157"/>
      <c r="O64" s="157"/>
      <c r="P64" s="157"/>
      <c r="Q64" s="157"/>
      <c r="R64" s="157"/>
      <c r="S64" s="157"/>
      <c r="T64" s="157"/>
      <c r="U64" s="2215"/>
      <c r="V64" s="2215"/>
      <c r="W64" s="2215"/>
      <c r="X64" s="2215"/>
      <c r="Y64" s="2215"/>
      <c r="Z64" s="2215"/>
      <c r="AA64" s="2215"/>
      <c r="AB64" s="2215"/>
    </row>
    <row r="65" spans="1:28" ht="18" customHeight="1">
      <c r="A65" s="2652" t="s">
        <v>1623</v>
      </c>
      <c r="B65" s="157"/>
      <c r="C65" s="157"/>
      <c r="D65" s="157"/>
      <c r="E65" s="157"/>
      <c r="F65" s="157"/>
      <c r="G65" s="157"/>
      <c r="H65" s="1235"/>
      <c r="I65" s="157"/>
      <c r="J65" s="157"/>
      <c r="K65" s="157"/>
      <c r="L65" s="157"/>
      <c r="M65" s="157"/>
      <c r="N65" s="157"/>
      <c r="O65" s="157"/>
      <c r="P65" s="157"/>
      <c r="Q65" s="157"/>
      <c r="R65" s="157"/>
      <c r="S65" s="157"/>
      <c r="T65" s="157"/>
      <c r="U65" s="2215"/>
      <c r="V65" s="2215"/>
      <c r="W65" s="2215"/>
      <c r="X65" s="2215"/>
      <c r="Y65" s="2215"/>
      <c r="Z65" s="2215"/>
      <c r="AA65" s="2215"/>
      <c r="AB65" s="2215"/>
    </row>
    <row r="66" spans="1:28" ht="15">
      <c r="A66" s="1150"/>
      <c r="B66" s="157"/>
      <c r="C66" s="157"/>
      <c r="D66" s="157"/>
      <c r="E66" s="157"/>
      <c r="F66" s="157"/>
      <c r="G66" s="157"/>
      <c r="H66" s="1235"/>
      <c r="I66" s="157"/>
      <c r="J66" s="157"/>
      <c r="K66" s="157"/>
      <c r="L66" s="157"/>
      <c r="M66" s="157"/>
      <c r="N66" s="157"/>
      <c r="O66" s="157"/>
      <c r="P66" s="157"/>
      <c r="Q66" s="157"/>
      <c r="R66" s="157"/>
      <c r="S66" s="157"/>
      <c r="T66" s="157"/>
      <c r="U66" s="2215"/>
      <c r="V66" s="2215"/>
      <c r="W66" s="2215"/>
      <c r="X66" s="2215"/>
      <c r="Y66" s="2215"/>
      <c r="Z66" s="2215"/>
      <c r="AA66" s="2215"/>
      <c r="AB66" s="2215"/>
    </row>
    <row r="67" spans="1:28" ht="15.75">
      <c r="A67" s="222"/>
      <c r="B67" s="223"/>
      <c r="C67" s="203"/>
      <c r="D67" s="224"/>
      <c r="E67" s="224"/>
      <c r="F67" s="224"/>
      <c r="G67" s="224"/>
      <c r="H67" s="1236"/>
      <c r="I67" s="224"/>
      <c r="J67" s="224"/>
      <c r="K67" s="224"/>
      <c r="L67" s="224"/>
      <c r="M67" s="157"/>
      <c r="N67" s="157"/>
      <c r="O67" s="157"/>
      <c r="P67" s="157"/>
      <c r="Q67" s="157"/>
      <c r="R67" s="157"/>
      <c r="S67" s="157"/>
      <c r="T67" s="157"/>
      <c r="U67" s="2215"/>
      <c r="V67" s="2215"/>
      <c r="W67" s="2215"/>
      <c r="X67" s="2215"/>
      <c r="Y67" s="2215"/>
      <c r="Z67" s="2215"/>
      <c r="AA67" s="2215"/>
      <c r="AB67" s="2215"/>
    </row>
    <row r="68" spans="1:28" ht="15">
      <c r="A68" s="164"/>
      <c r="B68" s="164"/>
      <c r="C68" s="164"/>
      <c r="D68" s="1149"/>
      <c r="E68" s="164"/>
      <c r="F68" s="164"/>
      <c r="G68" s="164"/>
      <c r="H68" s="1237"/>
      <c r="I68" s="164"/>
      <c r="J68" s="164"/>
      <c r="K68" s="164"/>
      <c r="L68" s="1149"/>
      <c r="M68" s="157"/>
      <c r="N68" s="157"/>
      <c r="O68" s="157"/>
      <c r="P68" s="157"/>
      <c r="Q68" s="157"/>
      <c r="R68" s="157"/>
      <c r="S68" s="157"/>
      <c r="T68" s="157"/>
      <c r="U68" s="2215"/>
      <c r="V68" s="2215"/>
      <c r="W68" s="2215"/>
      <c r="X68" s="2215"/>
      <c r="Y68" s="2215"/>
      <c r="Z68" s="2215"/>
      <c r="AA68" s="2215"/>
      <c r="AB68" s="2215"/>
    </row>
    <row r="69" spans="1:28" ht="15">
      <c r="A69" s="164"/>
      <c r="B69" s="164"/>
      <c r="C69" s="164"/>
      <c r="D69" s="1149"/>
      <c r="E69" s="164"/>
      <c r="F69" s="164"/>
      <c r="G69" s="164"/>
      <c r="H69" s="1237"/>
      <c r="I69" s="164"/>
      <c r="J69" s="164"/>
      <c r="K69" s="164"/>
      <c r="L69" s="1149"/>
      <c r="M69" s="157"/>
      <c r="N69" s="157"/>
      <c r="O69" s="157"/>
      <c r="P69" s="157"/>
      <c r="Q69" s="157"/>
      <c r="R69" s="157"/>
      <c r="S69" s="157"/>
      <c r="T69" s="157"/>
      <c r="U69" s="2215"/>
      <c r="V69" s="2215"/>
      <c r="W69" s="2215"/>
      <c r="X69" s="2215"/>
      <c r="Y69" s="2215"/>
      <c r="Z69" s="2215"/>
      <c r="AA69" s="2215"/>
      <c r="AB69" s="2215"/>
    </row>
    <row r="70" spans="1:28" ht="15">
      <c r="A70" s="164"/>
      <c r="B70" s="164"/>
      <c r="C70" s="164"/>
      <c r="D70" s="1149"/>
      <c r="E70" s="164"/>
      <c r="F70" s="164"/>
      <c r="G70" s="164"/>
      <c r="H70" s="1237"/>
      <c r="I70" s="164"/>
      <c r="J70" s="164"/>
      <c r="K70" s="164"/>
      <c r="L70" s="1149"/>
      <c r="M70" s="157"/>
      <c r="N70" s="157"/>
      <c r="O70" s="157"/>
      <c r="P70" s="157"/>
      <c r="Q70" s="157"/>
      <c r="R70" s="157"/>
      <c r="S70" s="157"/>
      <c r="T70" s="157"/>
      <c r="U70" s="2215"/>
      <c r="V70" s="2215"/>
      <c r="W70" s="2215"/>
      <c r="X70" s="2215"/>
      <c r="Y70" s="2215"/>
      <c r="Z70" s="2215"/>
      <c r="AA70" s="2215"/>
      <c r="AB70" s="2215"/>
    </row>
    <row r="71" spans="1:28" ht="19.5" customHeight="1">
      <c r="A71" s="151"/>
    </row>
  </sheetData>
  <customSheetViews>
    <customSheetView guid="{BD09DBC2-63A5-4D9C-9B00-4281066E9389}" scale="75" showGridLines="0" outlineSymbols="0" printArea="1" topLeftCell="A4">
      <selection activeCell="D70" sqref="D70"/>
      <pageMargins left="0.4" right="0.2" top="0.37" bottom="0.27" header="0" footer="0.25"/>
      <pageSetup scale="46" firstPageNumber="3" orientation="landscape" useFirstPageNumber="1" r:id="rId1"/>
      <headerFooter scaleWithDoc="0" alignWithMargins="0">
        <oddFooter>&amp;C&amp;8&amp;P</oddFooter>
      </headerFooter>
    </customSheetView>
    <customSheetView guid="{C82E0A7D-2B5B-48FC-A705-3168E651E04C}" scale="60" showGridLines="0" outlineSymbols="0">
      <selection activeCell="N17" sqref="N17"/>
      <pageMargins left="0.4" right="0.2" top="0.37" bottom="0.27" header="0" footer="0.25"/>
      <pageSetup scale="46" orientation="landscape" r:id="rId2"/>
      <headerFooter scaleWithDoc="0" alignWithMargins="0">
        <oddFooter>&amp;C&amp;8 3</oddFooter>
      </headerFooter>
    </customSheetView>
    <customSheetView guid="{A8B05C3B-0E7E-44A3-A097-AF4C5C09F04E}" scale="60" showGridLines="0" outlineSymbols="0" printArea="1" topLeftCell="A22">
      <selection activeCell="AA41" sqref="AA41"/>
      <pageMargins left="0.4" right="0.2" top="0.37" bottom="0.27" header="0" footer="0.25"/>
      <pageSetup scale="46" orientation="landscape" r:id="rId3"/>
      <headerFooter scaleWithDoc="0" alignWithMargins="0">
        <oddFooter>&amp;C&amp;8 3</oddFooter>
      </headerFooter>
    </customSheetView>
    <customSheetView guid="{8EE6466D-211E-4E05-9F84-CC0A1C6F79F4}" scale="60" showGridLines="0" outlineSymbols="0" topLeftCell="A22">
      <selection activeCell="AA33" sqref="AA33"/>
      <pageMargins left="0.4" right="0.2" top="0.37" bottom="0.27" header="0" footer="0.25"/>
      <pageSetup scale="46" orientation="landscape" r:id="rId4"/>
      <headerFooter scaleWithDoc="0" alignWithMargins="0">
        <oddFooter>&amp;C&amp;8 3</oddFooter>
      </headerFooter>
    </customSheetView>
    <customSheetView guid="{4735AAE3-27B4-4549-AAB4-50ACA997F5F5}" scale="60" showGridLines="0" outlineSymbols="0" topLeftCell="A7">
      <selection activeCell="T17" sqref="T17:T20"/>
      <pageMargins left="0.4" right="0.2" top="0.37" bottom="0.27" header="0" footer="0.25"/>
      <pageSetup scale="46" orientation="landscape" r:id="rId5"/>
      <headerFooter scaleWithDoc="0" alignWithMargins="0">
        <oddFooter>&amp;C&amp;8 3</oddFooter>
      </headerFooter>
    </customSheetView>
    <customSheetView guid="{80622567-647A-4891-B8EE-6B9E2C4DAC44}" scale="60" showGridLines="0" outlineSymbols="0" printArea="1" topLeftCell="A25">
      <selection activeCell="AF61" sqref="AF61"/>
      <pageMargins left="0.4" right="0.2" top="0.37" bottom="0.27" header="0" footer="0.25"/>
      <pageSetup scale="46" orientation="landscape" r:id="rId6"/>
      <headerFooter scaleWithDoc="0" alignWithMargins="0">
        <oddFooter>&amp;C&amp;8 3</oddFooter>
      </headerFooter>
    </customSheetView>
    <customSheetView guid="{A97EE6C3-4DA8-41BD-BE43-F596EFCB43CA}" scale="60" showGridLines="0" outlineSymbols="0" printArea="1" topLeftCell="A10">
      <selection activeCell="AA53" sqref="AA53"/>
      <pageMargins left="0.4" right="0.2" top="0.37" bottom="0.27" header="0" footer="0.25"/>
      <pageSetup scale="46" orientation="landscape" r:id="rId7"/>
      <headerFooter scaleWithDoc="0" alignWithMargins="0">
        <oddFooter>&amp;C&amp;8 3</oddFooter>
      </headerFooter>
    </customSheetView>
    <customSheetView guid="{90B76C5A-2FC4-40F0-8436-3E4F075A4887}" scale="70" showGridLines="0" outlineSymbols="0" printArea="1" topLeftCell="A31">
      <selection activeCell="H61" sqref="H61"/>
      <pageMargins left="0.4" right="0.2" top="0.37" bottom="0.27" header="0" footer="0.25"/>
      <pageSetup scale="46" orientation="landscape" r:id="rId8"/>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9"/>
  <headerFooter scaleWithDoc="0" alignWithMargins="0">
    <oddFooter>&amp;C&amp;8&amp;P</oddFooter>
  </headerFooter>
  <ignoredErrors>
    <ignoredError sqref="AE17:AF17 AD54:AF58 AD24:AG26 AE18:AE22 AD27:AF27 AD30:AF30 AE28:AE29 AD38:AG38 AE31:AE36 AD17:AD22 AD28:AD29 AD31:AD36 AD46:AG47 AE39:AE44 AD39:AD44 AE51:AF52 AD51:AD52 AD60:AF60 AD49:AG50 AE48:AF48 AG17 AG18:AG22 AF18:AF23 AD23:AE23 AG23 AG27 AG28:AG29 AG31:AG36 AG30 AF28:AF29 AF31:AF37 AD37:AE37 AG37 AG39:AG44 AF39:AF45 AD45:AE45 AG45 AG48 AD59:AF59 AD61:AF61 AE53:AF53" unlockedFormula="1"/>
    <ignoredError sqref="B44 B26 B51:B52 B59" numberStoredAsText="1"/>
  </ignoredErrors>
</worksheet>
</file>

<file path=xl/worksheets/sheet30.xml><?xml version="1.0" encoding="utf-8"?>
<worksheet xmlns="http://schemas.openxmlformats.org/spreadsheetml/2006/main" xmlns:r="http://schemas.openxmlformats.org/officeDocument/2006/relationships">
  <sheetPr codeName="Sheet28">
    <pageSetUpPr autoPageBreaks="0"/>
  </sheetPr>
  <dimension ref="A1:O165"/>
  <sheetViews>
    <sheetView showGridLines="0" zoomScale="80" zoomScaleNormal="70" zoomScaleSheetLayoutView="75" workbookViewId="0"/>
  </sheetViews>
  <sheetFormatPr defaultColWidth="8.88671875" defaultRowHeight="15.75"/>
  <cols>
    <col min="1" max="1" width="56.77734375" style="1333" customWidth="1"/>
    <col min="2" max="2" width="2.33203125" style="1333" customWidth="1"/>
    <col min="3" max="3" width="19" style="1588" customWidth="1"/>
    <col min="4" max="4" width="1.6640625" style="1333" customWidth="1"/>
    <col min="5" max="5" width="16.44140625" style="1333" customWidth="1"/>
    <col min="6" max="6" width="1.5546875" style="1333" customWidth="1"/>
    <col min="7" max="7" width="16.5546875" style="1333" customWidth="1"/>
    <col min="8" max="8" width="1.5546875" style="1333" customWidth="1"/>
    <col min="9" max="9" width="16.5546875" style="1333" customWidth="1"/>
    <col min="10" max="10" width="1.5546875" style="1333" customWidth="1"/>
    <col min="11" max="11" width="20.21875" style="1333" customWidth="1"/>
    <col min="12" max="12" width="9.109375" style="1333" bestFit="1" customWidth="1"/>
    <col min="13" max="13" width="2.5546875" style="1333" customWidth="1"/>
    <col min="14" max="15" width="9" style="1333" bestFit="1" customWidth="1"/>
    <col min="16" max="16384" width="8.88671875" style="1333"/>
  </cols>
  <sheetData>
    <row r="1" spans="1:14">
      <c r="A1" s="1227" t="s">
        <v>1322</v>
      </c>
    </row>
    <row r="2" spans="1:14">
      <c r="A2" s="1878"/>
    </row>
    <row r="3" spans="1:14" ht="18">
      <c r="A3" s="1783" t="s">
        <v>0</v>
      </c>
      <c r="B3" s="813"/>
      <c r="C3" s="813"/>
      <c r="D3" s="813"/>
      <c r="E3" s="813"/>
      <c r="F3" s="813"/>
      <c r="G3" s="813"/>
      <c r="H3" s="813"/>
      <c r="I3" s="813"/>
      <c r="J3" s="813"/>
      <c r="K3" s="1785" t="s">
        <v>244</v>
      </c>
      <c r="L3" s="813"/>
    </row>
    <row r="4" spans="1:14" ht="18">
      <c r="A4" s="1783" t="s">
        <v>243</v>
      </c>
      <c r="B4" s="813"/>
      <c r="C4" s="813" t="s">
        <v>16</v>
      </c>
      <c r="D4" s="813"/>
      <c r="E4" s="813"/>
      <c r="F4" s="813"/>
      <c r="G4" s="813"/>
      <c r="H4" s="813"/>
      <c r="I4" s="813"/>
      <c r="J4" s="813"/>
      <c r="L4" s="814"/>
    </row>
    <row r="5" spans="1:14" ht="18">
      <c r="A5" s="1783" t="s">
        <v>245</v>
      </c>
      <c r="B5" s="813"/>
      <c r="C5" s="813"/>
      <c r="D5" s="813"/>
      <c r="E5" s="813"/>
      <c r="F5" s="813"/>
      <c r="G5" s="813"/>
      <c r="H5" s="813"/>
      <c r="I5" s="813"/>
      <c r="J5" s="813"/>
      <c r="K5" s="815"/>
      <c r="L5" s="815"/>
    </row>
    <row r="6" spans="1:14" ht="18">
      <c r="A6" s="1784" t="s">
        <v>246</v>
      </c>
      <c r="B6" s="813"/>
      <c r="C6" s="813"/>
      <c r="D6" s="813"/>
      <c r="E6" s="813"/>
      <c r="F6" s="813"/>
      <c r="G6" s="813"/>
      <c r="H6" s="813"/>
      <c r="I6" s="813"/>
      <c r="J6" s="813"/>
      <c r="K6" s="816"/>
      <c r="L6" s="816"/>
    </row>
    <row r="7" spans="1:14" ht="18">
      <c r="A7" s="1784" t="s">
        <v>1639</v>
      </c>
      <c r="B7" s="813"/>
      <c r="C7" s="813"/>
      <c r="D7" s="813"/>
      <c r="E7" s="813" t="s">
        <v>16</v>
      </c>
      <c r="F7" s="813"/>
      <c r="G7" s="813"/>
      <c r="H7" s="813"/>
      <c r="I7" s="813"/>
      <c r="J7" s="813"/>
      <c r="K7" s="813"/>
      <c r="L7" s="813"/>
    </row>
    <row r="8" spans="1:14" ht="18">
      <c r="A8" s="1783" t="s">
        <v>1200</v>
      </c>
      <c r="B8" s="1578" t="s">
        <v>247</v>
      </c>
      <c r="C8" s="1579"/>
      <c r="D8" s="1579"/>
      <c r="E8" s="1579"/>
      <c r="F8" s="1579"/>
      <c r="G8" s="1579"/>
      <c r="H8" s="1579"/>
      <c r="I8" s="1579"/>
      <c r="J8" s="1579"/>
      <c r="K8" s="1579"/>
      <c r="L8" s="1579"/>
    </row>
    <row r="9" spans="1:14">
      <c r="A9" s="1579"/>
      <c r="B9" s="1579"/>
      <c r="C9" s="817" t="s">
        <v>248</v>
      </c>
      <c r="D9" s="812"/>
      <c r="E9" s="812"/>
      <c r="F9" s="812"/>
      <c r="G9" s="818"/>
      <c r="H9" s="812"/>
      <c r="I9" s="819" t="s">
        <v>249</v>
      </c>
      <c r="J9" s="812"/>
      <c r="K9" s="819" t="s">
        <v>248</v>
      </c>
      <c r="L9" s="819"/>
    </row>
    <row r="10" spans="1:14">
      <c r="A10" s="1579"/>
      <c r="B10" s="1579"/>
      <c r="C10" s="3091" t="s">
        <v>1640</v>
      </c>
      <c r="D10" s="812"/>
      <c r="E10" s="820" t="s">
        <v>250</v>
      </c>
      <c r="F10" s="818"/>
      <c r="G10" s="821" t="s">
        <v>251</v>
      </c>
      <c r="H10" s="818"/>
      <c r="I10" s="821" t="s">
        <v>252</v>
      </c>
      <c r="J10" s="818"/>
      <c r="K10" s="822" t="s">
        <v>1641</v>
      </c>
      <c r="L10" s="823"/>
    </row>
    <row r="11" spans="1:14">
      <c r="A11" s="1579"/>
      <c r="B11" s="1579"/>
      <c r="C11" s="823"/>
      <c r="D11" s="812"/>
      <c r="E11" s="819"/>
      <c r="F11" s="818"/>
      <c r="G11" s="819"/>
      <c r="H11" s="818"/>
      <c r="I11" s="819"/>
      <c r="J11" s="818"/>
      <c r="K11" s="1674"/>
      <c r="L11" s="823"/>
    </row>
    <row r="12" spans="1:14">
      <c r="A12" s="824" t="s">
        <v>153</v>
      </c>
      <c r="B12" s="1579"/>
      <c r="C12" s="1580"/>
      <c r="D12" s="1579"/>
      <c r="E12" s="1581"/>
      <c r="F12" s="1579"/>
      <c r="G12" s="1582"/>
      <c r="H12" s="1579"/>
      <c r="I12" s="1582"/>
      <c r="J12" s="1579"/>
      <c r="K12" s="1580"/>
      <c r="L12" s="1580"/>
    </row>
    <row r="13" spans="1:14">
      <c r="A13" s="1583" t="s">
        <v>253</v>
      </c>
      <c r="B13" s="1581"/>
      <c r="C13" s="1584">
        <v>0</v>
      </c>
      <c r="D13" s="1581"/>
      <c r="E13" s="2500">
        <v>2.4E-2</v>
      </c>
      <c r="F13" s="2501"/>
      <c r="G13" s="2500">
        <v>2643.4450000000002</v>
      </c>
      <c r="H13" s="2501"/>
      <c r="I13" s="2500">
        <v>2643.4209999999998</v>
      </c>
      <c r="J13" s="1581"/>
      <c r="K13" s="1744">
        <f>ROUND(SUM(C13)+SUM(E13)-SUM(G13)+SUM(I13),3)</f>
        <v>0</v>
      </c>
      <c r="L13" s="1585"/>
    </row>
    <row r="14" spans="1:14">
      <c r="A14" s="1583" t="s">
        <v>254</v>
      </c>
      <c r="B14" s="1583"/>
      <c r="C14" s="1586">
        <v>7972.8580000000002</v>
      </c>
      <c r="D14" s="1212"/>
      <c r="E14" s="2502">
        <v>2979.4639999999999</v>
      </c>
      <c r="F14" s="2503"/>
      <c r="G14" s="2502">
        <v>1001.011</v>
      </c>
      <c r="H14" s="2503"/>
      <c r="I14" s="2502">
        <v>-2316.009</v>
      </c>
      <c r="J14" s="1583"/>
      <c r="K14" s="1587">
        <f>ROUND(SUM(C14)+SUM(E14)-SUM(G14)+SUM(I14),3)</f>
        <v>7635.3019999999997</v>
      </c>
      <c r="L14" s="1586"/>
      <c r="M14" s="1588"/>
      <c r="N14" s="1588"/>
    </row>
    <row r="15" spans="1:14">
      <c r="A15" s="1589" t="s">
        <v>255</v>
      </c>
      <c r="B15" s="1579"/>
      <c r="C15" s="1589">
        <v>0</v>
      </c>
      <c r="D15" s="1587"/>
      <c r="E15" s="2504">
        <v>0</v>
      </c>
      <c r="F15" s="2505"/>
      <c r="G15" s="2504">
        <v>0</v>
      </c>
      <c r="H15" s="2505"/>
      <c r="I15" s="2504">
        <v>0</v>
      </c>
      <c r="J15" s="1587"/>
      <c r="K15" s="1587">
        <f t="shared" ref="K15:K21" si="0">ROUND(SUM(C15)+SUM(E15)-SUM(G15)+SUM(I15),3)</f>
        <v>0</v>
      </c>
      <c r="L15" s="1586"/>
      <c r="M15" s="1588"/>
      <c r="N15" s="1588"/>
    </row>
    <row r="16" spans="1:14">
      <c r="A16" s="1579" t="s">
        <v>256</v>
      </c>
      <c r="B16" s="1579"/>
      <c r="C16" s="1589">
        <v>0</v>
      </c>
      <c r="D16" s="1587"/>
      <c r="E16" s="2504">
        <v>0</v>
      </c>
      <c r="F16" s="2505"/>
      <c r="G16" s="2504">
        <v>0</v>
      </c>
      <c r="H16" s="2505"/>
      <c r="I16" s="2504">
        <v>0</v>
      </c>
      <c r="J16" s="1587"/>
      <c r="K16" s="1587">
        <f t="shared" si="0"/>
        <v>0</v>
      </c>
      <c r="L16" s="1586"/>
      <c r="M16" s="1588"/>
      <c r="N16" s="1588"/>
    </row>
    <row r="17" spans="1:14">
      <c r="A17" s="1579" t="s">
        <v>257</v>
      </c>
      <c r="B17" s="1579"/>
      <c r="C17" s="1589">
        <v>0</v>
      </c>
      <c r="D17" s="1587"/>
      <c r="E17" s="2504">
        <v>0</v>
      </c>
      <c r="F17" s="2505"/>
      <c r="G17" s="2504">
        <v>0</v>
      </c>
      <c r="H17" s="2505"/>
      <c r="I17" s="2504">
        <v>0</v>
      </c>
      <c r="J17" s="1587"/>
      <c r="K17" s="1587">
        <f t="shared" si="0"/>
        <v>0</v>
      </c>
      <c r="L17" s="1586"/>
      <c r="M17" s="1588"/>
      <c r="N17" s="1588"/>
    </row>
    <row r="18" spans="1:14">
      <c r="A18" s="1579" t="s">
        <v>258</v>
      </c>
      <c r="B18" s="1579"/>
      <c r="C18" s="1590">
        <v>79.924000000000007</v>
      </c>
      <c r="D18" s="1587"/>
      <c r="E18" s="2504">
        <v>0</v>
      </c>
      <c r="F18" s="2505"/>
      <c r="G18" s="2504">
        <v>0.75</v>
      </c>
      <c r="H18" s="2505"/>
      <c r="I18" s="2504">
        <v>0</v>
      </c>
      <c r="J18" s="1587"/>
      <c r="K18" s="1587">
        <f t="shared" si="0"/>
        <v>79.174000000000007</v>
      </c>
      <c r="L18" s="1587"/>
      <c r="M18" s="1588"/>
      <c r="N18" s="1588"/>
    </row>
    <row r="19" spans="1:14">
      <c r="A19" s="1579" t="s">
        <v>259</v>
      </c>
      <c r="B19" s="1579"/>
      <c r="C19" s="1586">
        <v>0</v>
      </c>
      <c r="D19" s="1590"/>
      <c r="E19" s="2504">
        <v>0</v>
      </c>
      <c r="F19" s="2506"/>
      <c r="G19" s="2504">
        <v>0</v>
      </c>
      <c r="H19" s="2506"/>
      <c r="I19" s="2504">
        <v>0</v>
      </c>
      <c r="J19" s="1590"/>
      <c r="K19" s="1587">
        <f t="shared" si="0"/>
        <v>0</v>
      </c>
      <c r="L19" s="1586"/>
      <c r="M19" s="1588"/>
      <c r="N19" s="1588"/>
    </row>
    <row r="20" spans="1:14">
      <c r="A20" s="1589" t="s">
        <v>260</v>
      </c>
      <c r="B20" s="1580"/>
      <c r="C20" s="1586">
        <v>0</v>
      </c>
      <c r="D20" s="1590"/>
      <c r="E20" s="2504">
        <v>0</v>
      </c>
      <c r="F20" s="2506"/>
      <c r="G20" s="2504">
        <v>0</v>
      </c>
      <c r="H20" s="2506"/>
      <c r="I20" s="2504">
        <v>0</v>
      </c>
      <c r="J20" s="1590"/>
      <c r="K20" s="1587">
        <f t="shared" si="0"/>
        <v>0</v>
      </c>
      <c r="L20" s="1586"/>
      <c r="M20" s="1588"/>
      <c r="N20" s="1588"/>
    </row>
    <row r="21" spans="1:14">
      <c r="A21" s="1589" t="s">
        <v>261</v>
      </c>
      <c r="B21" s="1579"/>
      <c r="C21" s="1586">
        <v>0</v>
      </c>
      <c r="D21" s="1587"/>
      <c r="E21" s="2504">
        <v>102.56100000000001</v>
      </c>
      <c r="F21" s="2505"/>
      <c r="G21" s="2504">
        <v>102.56100000000001</v>
      </c>
      <c r="H21" s="2505"/>
      <c r="I21" s="2504">
        <v>0</v>
      </c>
      <c r="J21" s="1587"/>
      <c r="K21" s="1587">
        <f t="shared" si="0"/>
        <v>0</v>
      </c>
      <c r="L21" s="1586"/>
      <c r="M21" s="1588"/>
      <c r="N21" s="1588"/>
    </row>
    <row r="22" spans="1:14">
      <c r="A22" s="1591" t="s">
        <v>262</v>
      </c>
      <c r="B22" s="1579"/>
      <c r="C22" s="1586">
        <v>0</v>
      </c>
      <c r="D22" s="1587"/>
      <c r="E22" s="2504">
        <v>0</v>
      </c>
      <c r="F22" s="2505"/>
      <c r="G22" s="2504">
        <v>0</v>
      </c>
      <c r="H22" s="2505"/>
      <c r="I22" s="2504">
        <v>0</v>
      </c>
      <c r="J22" s="1212"/>
      <c r="K22" s="1586">
        <f>ROUND(SUM(C22)+SUM(E22)-SUM(G22)+SUM(I22),3)</f>
        <v>0</v>
      </c>
      <c r="L22" s="1586"/>
      <c r="M22" s="1588"/>
      <c r="N22" s="1588"/>
    </row>
    <row r="23" spans="1:14" ht="22.5" customHeight="1">
      <c r="A23" s="825" t="s">
        <v>263</v>
      </c>
      <c r="B23" s="1579"/>
      <c r="C23" s="826">
        <f>ROUND(SUM(C13:C22),3)</f>
        <v>8052.7820000000002</v>
      </c>
      <c r="D23" s="817"/>
      <c r="E23" s="827">
        <f>ROUND(SUM(E13:E22),3)</f>
        <v>3082.049</v>
      </c>
      <c r="F23" s="828"/>
      <c r="G23" s="827">
        <f>ROUND(SUM(G13:G22),3)</f>
        <v>3747.7669999999998</v>
      </c>
      <c r="H23" s="828"/>
      <c r="I23" s="827">
        <f>ROUND(SUM(I13:I22),3)</f>
        <v>327.41199999999998</v>
      </c>
      <c r="J23" s="828"/>
      <c r="K23" s="827">
        <f>ROUND(SUM(K13:K22),3)</f>
        <v>7714.4759999999997</v>
      </c>
      <c r="L23" s="1374"/>
      <c r="M23" s="1588"/>
      <c r="N23" s="1588"/>
    </row>
    <row r="24" spans="1:14" ht="8.25" customHeight="1">
      <c r="A24" s="825"/>
      <c r="B24" s="1579"/>
      <c r="C24" s="1582"/>
      <c r="D24" s="1587"/>
      <c r="E24" s="1582"/>
      <c r="F24" s="1587"/>
      <c r="G24" s="1582"/>
      <c r="H24" s="1587"/>
      <c r="I24" s="1582"/>
      <c r="J24" s="1212"/>
      <c r="K24" s="1576"/>
      <c r="L24" s="1582"/>
      <c r="M24" s="1588"/>
      <c r="N24" s="1588"/>
    </row>
    <row r="25" spans="1:14" ht="17.25">
      <c r="A25" s="1591"/>
      <c r="B25" s="1583"/>
      <c r="C25" s="1592"/>
      <c r="D25" s="1583"/>
      <c r="E25" s="1592"/>
      <c r="F25" s="1375"/>
      <c r="G25" s="1592"/>
      <c r="H25" s="1375"/>
      <c r="I25" s="1592"/>
      <c r="J25" s="1583"/>
      <c r="K25" s="1593"/>
      <c r="L25" s="1593"/>
      <c r="M25" s="1588"/>
      <c r="N25" s="1588"/>
    </row>
    <row r="26" spans="1:14" ht="17.25">
      <c r="A26" s="829" t="s">
        <v>1207</v>
      </c>
      <c r="B26" s="1583"/>
      <c r="C26" s="1583"/>
      <c r="D26" s="1583"/>
      <c r="E26" s="1583"/>
      <c r="F26" s="1375"/>
      <c r="G26" s="1583"/>
      <c r="H26" s="1375"/>
      <c r="I26" s="1583"/>
      <c r="J26" s="1583"/>
      <c r="K26" s="1583"/>
      <c r="L26" s="1583"/>
      <c r="M26" s="1588"/>
      <c r="N26" s="1588"/>
    </row>
    <row r="27" spans="1:14">
      <c r="A27" s="1589" t="s">
        <v>264</v>
      </c>
      <c r="B27" s="1579"/>
      <c r="C27" s="3110">
        <v>2.29</v>
      </c>
      <c r="D27"/>
      <c r="E27" s="2504">
        <v>5.0000000000000001E-3</v>
      </c>
      <c r="F27" s="1570"/>
      <c r="G27" s="2504">
        <v>4.0000000000000001E-3</v>
      </c>
      <c r="H27" s="1570"/>
      <c r="I27" s="2504">
        <v>0</v>
      </c>
      <c r="J27" s="1579"/>
      <c r="K27" s="1212">
        <f t="shared" ref="K27:K32" si="1">ROUND(SUM(C27)+SUM(E27)-SUM(G27)+SUM(I27),3)</f>
        <v>2.2909999999999999</v>
      </c>
      <c r="L27" s="1587"/>
      <c r="M27" s="1588"/>
      <c r="N27" s="1588"/>
    </row>
    <row r="28" spans="1:14">
      <c r="A28" s="1589" t="s">
        <v>265</v>
      </c>
      <c r="B28" s="1579"/>
      <c r="C28" s="3109">
        <v>66.853999999999999</v>
      </c>
      <c r="D28"/>
      <c r="E28" s="2504">
        <v>0.753</v>
      </c>
      <c r="F28" s="1570"/>
      <c r="G28" s="2504">
        <v>0.91300000000000003</v>
      </c>
      <c r="H28" s="1570"/>
      <c r="I28" s="2504">
        <v>0</v>
      </c>
      <c r="J28" s="1579"/>
      <c r="K28" s="1212">
        <f t="shared" si="1"/>
        <v>66.694000000000003</v>
      </c>
      <c r="L28" s="1212"/>
      <c r="M28" s="1588"/>
      <c r="N28" s="1588"/>
    </row>
    <row r="29" spans="1:14">
      <c r="A29" s="1579" t="s">
        <v>266</v>
      </c>
      <c r="B29" s="1578" t="s">
        <v>247</v>
      </c>
      <c r="C29" s="3109">
        <v>10.206</v>
      </c>
      <c r="D29"/>
      <c r="E29" s="2504">
        <v>0.91700000000000004</v>
      </c>
      <c r="F29" s="1570"/>
      <c r="G29" s="2504">
        <v>0.372</v>
      </c>
      <c r="H29" s="1570"/>
      <c r="I29" s="2504">
        <v>0</v>
      </c>
      <c r="J29" s="1579"/>
      <c r="K29" s="1212">
        <f t="shared" si="1"/>
        <v>10.750999999999999</v>
      </c>
      <c r="L29" s="1587"/>
      <c r="M29" s="1588"/>
      <c r="N29" s="1588"/>
    </row>
    <row r="30" spans="1:14">
      <c r="A30" s="1589" t="s">
        <v>267</v>
      </c>
      <c r="B30" s="1578"/>
      <c r="C30" s="3109">
        <v>0.3</v>
      </c>
      <c r="D30"/>
      <c r="E30" s="2504">
        <v>0</v>
      </c>
      <c r="F30" s="1570"/>
      <c r="G30" s="2504">
        <v>6.2E-2</v>
      </c>
      <c r="H30" s="1570"/>
      <c r="I30" s="2504">
        <v>0</v>
      </c>
      <c r="J30" s="1579"/>
      <c r="K30" s="1212">
        <f t="shared" si="1"/>
        <v>0.23799999999999999</v>
      </c>
      <c r="L30" s="1587"/>
      <c r="M30" s="1588"/>
      <c r="N30" s="1588"/>
    </row>
    <row r="31" spans="1:14">
      <c r="A31" s="1589" t="s">
        <v>268</v>
      </c>
      <c r="B31" s="1578"/>
      <c r="C31" s="3109">
        <v>0.24099999999999999</v>
      </c>
      <c r="D31"/>
      <c r="E31" s="2504">
        <v>7.0000000000000001E-3</v>
      </c>
      <c r="F31" s="1570"/>
      <c r="G31" s="2504">
        <v>4.0000000000000001E-3</v>
      </c>
      <c r="H31" s="1570"/>
      <c r="I31" s="2504">
        <v>0</v>
      </c>
      <c r="J31" s="1579"/>
      <c r="K31" s="1212">
        <f t="shared" si="1"/>
        <v>0.24399999999999999</v>
      </c>
      <c r="L31" s="1587"/>
      <c r="M31" s="1588"/>
      <c r="N31" s="1588"/>
    </row>
    <row r="32" spans="1:14">
      <c r="A32" s="1579" t="s">
        <v>269</v>
      </c>
      <c r="B32" s="1579"/>
      <c r="C32" s="3109">
        <v>6.17</v>
      </c>
      <c r="D32"/>
      <c r="E32" s="2504">
        <v>0.124</v>
      </c>
      <c r="F32" s="1570"/>
      <c r="G32" s="2504">
        <v>0.58099999999999996</v>
      </c>
      <c r="H32" s="1570"/>
      <c r="I32" s="2504">
        <v>0</v>
      </c>
      <c r="J32" s="1583"/>
      <c r="K32" s="1212">
        <f t="shared" si="1"/>
        <v>5.7130000000000001</v>
      </c>
      <c r="L32" s="1212"/>
      <c r="M32" s="1588"/>
      <c r="N32" s="1588"/>
    </row>
    <row r="33" spans="1:14">
      <c r="A33" s="1579" t="s">
        <v>270</v>
      </c>
      <c r="B33" s="1579"/>
      <c r="C33" s="3161"/>
      <c r="D33"/>
      <c r="E33" s="2507"/>
      <c r="F33" s="2507"/>
      <c r="G33" s="2507"/>
      <c r="H33" s="2507"/>
      <c r="I33" s="2507"/>
      <c r="J33" s="831"/>
      <c r="K33" s="831"/>
      <c r="L33" s="831"/>
      <c r="M33" s="1588"/>
      <c r="N33" s="1588"/>
    </row>
    <row r="34" spans="1:14">
      <c r="A34" s="1579" t="s">
        <v>271</v>
      </c>
      <c r="B34" s="1579"/>
      <c r="C34" s="3109">
        <v>2.056</v>
      </c>
      <c r="D34"/>
      <c r="E34" s="2504">
        <v>0.72899999999999998</v>
      </c>
      <c r="F34" s="1570"/>
      <c r="G34" s="2504">
        <v>0.86699999999999999</v>
      </c>
      <c r="H34" s="1570"/>
      <c r="I34" s="2504">
        <v>0</v>
      </c>
      <c r="J34" s="1583"/>
      <c r="K34" s="1212">
        <f>ROUND(SUM(C34)+SUM(E34)-SUM(G34)+SUM(I34),3)</f>
        <v>1.9179999999999999</v>
      </c>
      <c r="L34" s="1212"/>
      <c r="M34" s="1588"/>
      <c r="N34" s="1588"/>
    </row>
    <row r="35" spans="1:14">
      <c r="A35" s="1579" t="s">
        <v>272</v>
      </c>
      <c r="B35" s="1579"/>
      <c r="C35" s="3161">
        <v>1E-3</v>
      </c>
      <c r="D35"/>
      <c r="E35" s="2504">
        <v>4.5270000000000001</v>
      </c>
      <c r="F35" s="1570"/>
      <c r="G35" s="2504">
        <v>4.5259999999999998</v>
      </c>
      <c r="H35" s="1570"/>
      <c r="I35" s="2504">
        <v>0</v>
      </c>
      <c r="J35" s="1583"/>
      <c r="K35" s="1212">
        <f t="shared" ref="K35:K58" si="2">ROUND(SUM(C35)+SUM(E35)-SUM(G35)+SUM(I35),3)</f>
        <v>2E-3</v>
      </c>
      <c r="L35" s="1212"/>
      <c r="M35" s="1588"/>
      <c r="N35" s="1588"/>
    </row>
    <row r="36" spans="1:14">
      <c r="A36" s="1579" t="s">
        <v>273</v>
      </c>
      <c r="B36" s="1579"/>
      <c r="C36" s="3109">
        <v>0.82899999999999996</v>
      </c>
      <c r="D36"/>
      <c r="E36" s="2504">
        <v>0</v>
      </c>
      <c r="F36" s="1570"/>
      <c r="G36" s="2504">
        <v>0</v>
      </c>
      <c r="H36" s="1570"/>
      <c r="I36" s="2504">
        <v>0</v>
      </c>
      <c r="J36" s="1579"/>
      <c r="K36" s="1212">
        <f t="shared" si="2"/>
        <v>0.82899999999999996</v>
      </c>
      <c r="L36" s="1587"/>
      <c r="M36" s="1588"/>
      <c r="N36" s="1588"/>
    </row>
    <row r="37" spans="1:14">
      <c r="A37" s="1595" t="s">
        <v>274</v>
      </c>
      <c r="B37" s="1596"/>
      <c r="C37" s="3092">
        <v>0</v>
      </c>
      <c r="D37"/>
      <c r="E37" s="2504">
        <v>0</v>
      </c>
      <c r="F37" s="1570"/>
      <c r="G37" s="2504">
        <v>0</v>
      </c>
      <c r="H37" s="1570"/>
      <c r="I37" s="2504">
        <v>0</v>
      </c>
      <c r="J37" s="1587"/>
      <c r="K37" s="1212">
        <f t="shared" si="2"/>
        <v>0</v>
      </c>
      <c r="L37" s="1586"/>
      <c r="M37" s="1588"/>
      <c r="N37" s="1588"/>
    </row>
    <row r="38" spans="1:14">
      <c r="A38" s="1589" t="s">
        <v>275</v>
      </c>
      <c r="B38" s="1579"/>
      <c r="C38" s="3109">
        <v>114.514</v>
      </c>
      <c r="D38"/>
      <c r="E38" s="2504">
        <v>471.49599999999998</v>
      </c>
      <c r="F38" s="1570"/>
      <c r="G38" s="2504">
        <v>508.57</v>
      </c>
      <c r="H38" s="1570"/>
      <c r="I38" s="2504">
        <v>-0.86099999999999999</v>
      </c>
      <c r="J38" s="1579"/>
      <c r="K38" s="1212">
        <f t="shared" si="2"/>
        <v>76.578999999999994</v>
      </c>
      <c r="L38" s="1212"/>
      <c r="M38" s="1588"/>
      <c r="N38" s="1588"/>
    </row>
    <row r="39" spans="1:14">
      <c r="A39" s="1583" t="s">
        <v>276</v>
      </c>
      <c r="B39" s="1583"/>
      <c r="C39" s="3109">
        <v>84.054000000000002</v>
      </c>
      <c r="D39"/>
      <c r="E39" s="2504">
        <v>50.607999999999997</v>
      </c>
      <c r="F39" s="1570"/>
      <c r="G39" s="2504">
        <v>65.998999999999995</v>
      </c>
      <c r="H39" s="1570"/>
      <c r="I39" s="2504">
        <v>0</v>
      </c>
      <c r="J39" s="1583"/>
      <c r="K39" s="1212">
        <f t="shared" si="2"/>
        <v>68.662999999999997</v>
      </c>
      <c r="L39" s="1212"/>
      <c r="M39" s="1588"/>
      <c r="N39" s="1588"/>
    </row>
    <row r="40" spans="1:14">
      <c r="A40" s="1591" t="s">
        <v>277</v>
      </c>
      <c r="B40" s="1583"/>
      <c r="C40" s="3109">
        <v>-723.678</v>
      </c>
      <c r="D40"/>
      <c r="E40" s="2504">
        <v>305.36099999999999</v>
      </c>
      <c r="F40" s="1570"/>
      <c r="G40" s="2504">
        <v>153.65899999999999</v>
      </c>
      <c r="H40" s="1570"/>
      <c r="I40" s="2504">
        <v>0</v>
      </c>
      <c r="J40" s="1583"/>
      <c r="K40" s="1212">
        <f t="shared" si="2"/>
        <v>-571.976</v>
      </c>
      <c r="L40" s="1212"/>
      <c r="M40" s="1588"/>
      <c r="N40" s="1588"/>
    </row>
    <row r="41" spans="1:14">
      <c r="A41" s="1589" t="s">
        <v>278</v>
      </c>
      <c r="B41" s="1579"/>
      <c r="C41" s="3109">
        <v>13.32</v>
      </c>
      <c r="D41"/>
      <c r="E41" s="2504">
        <v>2.585</v>
      </c>
      <c r="F41" s="1570"/>
      <c r="G41" s="2504">
        <v>2.0110000000000001</v>
      </c>
      <c r="H41" s="1570"/>
      <c r="I41" s="2504">
        <v>0</v>
      </c>
      <c r="J41" s="1579"/>
      <c r="K41" s="1212">
        <f t="shared" si="2"/>
        <v>13.894</v>
      </c>
      <c r="L41" s="1212"/>
      <c r="M41" s="1588"/>
      <c r="N41" s="1588"/>
    </row>
    <row r="42" spans="1:14">
      <c r="A42" s="1583" t="s">
        <v>279</v>
      </c>
      <c r="B42" s="1579"/>
      <c r="C42" s="3109">
        <v>-1.6910000000000001</v>
      </c>
      <c r="D42"/>
      <c r="E42" s="2504">
        <v>0</v>
      </c>
      <c r="F42" s="1570"/>
      <c r="G42" s="2504">
        <v>0.52100000000000002</v>
      </c>
      <c r="H42" s="1570"/>
      <c r="I42" s="2504">
        <v>-8.2000000000000003E-2</v>
      </c>
      <c r="J42" s="1579"/>
      <c r="K42" s="1212">
        <f t="shared" si="2"/>
        <v>-2.294</v>
      </c>
      <c r="L42" s="1212"/>
      <c r="M42" s="1588"/>
      <c r="N42" s="1588"/>
    </row>
    <row r="43" spans="1:14">
      <c r="A43" s="1579" t="s">
        <v>280</v>
      </c>
      <c r="B43" s="1579"/>
      <c r="C43" s="3109">
        <v>-32.875</v>
      </c>
      <c r="D43"/>
      <c r="E43" s="2504">
        <v>12.86</v>
      </c>
      <c r="F43" s="1570"/>
      <c r="G43" s="2504">
        <v>11.919</v>
      </c>
      <c r="H43" s="1570"/>
      <c r="I43" s="2504">
        <v>1.8560000000000001</v>
      </c>
      <c r="J43" s="1579"/>
      <c r="K43" s="1212">
        <f t="shared" si="2"/>
        <v>-30.077999999999999</v>
      </c>
      <c r="L43" s="1212"/>
      <c r="M43" s="1588"/>
      <c r="N43" s="1588"/>
    </row>
    <row r="44" spans="1:14">
      <c r="A44" s="1579" t="s">
        <v>281</v>
      </c>
      <c r="B44" s="1579"/>
      <c r="C44" s="3109">
        <v>77.626999999999995</v>
      </c>
      <c r="D44"/>
      <c r="E44" s="2504">
        <v>8.8019999999999996</v>
      </c>
      <c r="F44" s="1570"/>
      <c r="G44" s="2504">
        <v>6.266</v>
      </c>
      <c r="H44" s="1570"/>
      <c r="I44" s="2504">
        <v>-1.774</v>
      </c>
      <c r="J44" s="1579"/>
      <c r="K44" s="1212">
        <f t="shared" si="2"/>
        <v>78.388999999999996</v>
      </c>
      <c r="L44" s="1212"/>
      <c r="M44" s="1588"/>
      <c r="N44" s="1588"/>
    </row>
    <row r="45" spans="1:14">
      <c r="A45" s="1579" t="s">
        <v>282</v>
      </c>
      <c r="B45" s="1579"/>
      <c r="C45" s="3109">
        <v>22.881</v>
      </c>
      <c r="D45"/>
      <c r="E45" s="2504">
        <v>4.5010000000000003</v>
      </c>
      <c r="F45" s="1570"/>
      <c r="G45" s="2504">
        <v>4.4210000000000003</v>
      </c>
      <c r="H45" s="1570"/>
      <c r="I45" s="2504">
        <v>-2.504</v>
      </c>
      <c r="J45" s="1579"/>
      <c r="K45" s="1212">
        <f t="shared" si="2"/>
        <v>20.457000000000001</v>
      </c>
      <c r="L45" s="1212"/>
      <c r="M45" s="1588"/>
      <c r="N45" s="1588"/>
    </row>
    <row r="46" spans="1:14">
      <c r="A46" s="1579" t="s">
        <v>283</v>
      </c>
      <c r="B46" s="1579"/>
      <c r="C46" s="3109">
        <v>10.079000000000001</v>
      </c>
      <c r="D46"/>
      <c r="E46" s="2504">
        <v>0</v>
      </c>
      <c r="F46" s="1570"/>
      <c r="G46" s="2504">
        <v>-0.66</v>
      </c>
      <c r="H46" s="1570"/>
      <c r="I46" s="2504">
        <v>0</v>
      </c>
      <c r="J46" s="1579"/>
      <c r="K46" s="1212">
        <f t="shared" si="2"/>
        <v>10.739000000000001</v>
      </c>
      <c r="L46" s="1212"/>
      <c r="M46" s="1588"/>
      <c r="N46" s="1588"/>
    </row>
    <row r="47" spans="1:14">
      <c r="A47" s="1579" t="s">
        <v>284</v>
      </c>
      <c r="B47" s="1579"/>
      <c r="C47" s="3109">
        <v>9.6560000000000006</v>
      </c>
      <c r="D47"/>
      <c r="E47" s="2504">
        <v>1.474</v>
      </c>
      <c r="F47" s="1570"/>
      <c r="G47" s="2504">
        <v>2.5870000000000002</v>
      </c>
      <c r="H47" s="1570"/>
      <c r="I47" s="2504">
        <v>0</v>
      </c>
      <c r="J47" s="1579"/>
      <c r="K47" s="1212">
        <f t="shared" si="2"/>
        <v>8.5429999999999993</v>
      </c>
      <c r="L47" s="1212"/>
      <c r="M47" s="1588"/>
      <c r="N47" s="1588"/>
    </row>
    <row r="48" spans="1:14">
      <c r="A48" s="1589" t="s">
        <v>285</v>
      </c>
      <c r="B48" s="1579"/>
      <c r="C48" s="3109">
        <v>0.53</v>
      </c>
      <c r="D48"/>
      <c r="E48" s="2504">
        <v>5.0000000000000001E-3</v>
      </c>
      <c r="F48" s="1570"/>
      <c r="G48" s="2504">
        <v>1.2E-2</v>
      </c>
      <c r="H48" s="1570"/>
      <c r="I48" s="2504">
        <v>0</v>
      </c>
      <c r="J48" s="1579"/>
      <c r="K48" s="1212">
        <f t="shared" si="2"/>
        <v>0.52300000000000002</v>
      </c>
      <c r="L48" s="1212"/>
      <c r="M48" s="1588"/>
      <c r="N48" s="1588"/>
    </row>
    <row r="49" spans="1:14">
      <c r="A49" s="1579" t="s">
        <v>286</v>
      </c>
      <c r="B49" s="1579"/>
      <c r="C49" s="3109">
        <v>258.23899999999998</v>
      </c>
      <c r="D49"/>
      <c r="E49" s="2504">
        <v>71.48</v>
      </c>
      <c r="F49" s="1570"/>
      <c r="G49" s="2505">
        <v>185.91</v>
      </c>
      <c r="H49" s="1570"/>
      <c r="I49" s="2504">
        <v>0</v>
      </c>
      <c r="J49" s="1579"/>
      <c r="K49" s="1212">
        <f t="shared" si="2"/>
        <v>143.809</v>
      </c>
      <c r="L49" s="1212"/>
      <c r="M49" s="1588"/>
      <c r="N49" s="1588"/>
    </row>
    <row r="50" spans="1:14">
      <c r="A50" s="1579" t="s">
        <v>287</v>
      </c>
      <c r="B50" s="1579"/>
      <c r="C50" s="3109">
        <v>-22.01</v>
      </c>
      <c r="D50"/>
      <c r="E50" s="2504">
        <v>3.181</v>
      </c>
      <c r="F50" s="1570"/>
      <c r="G50" s="2504">
        <v>3.2429999999999999</v>
      </c>
      <c r="H50" s="1570"/>
      <c r="I50" s="2504">
        <v>0</v>
      </c>
      <c r="J50" s="1579"/>
      <c r="K50" s="1212">
        <f t="shared" si="2"/>
        <v>-22.071999999999999</v>
      </c>
      <c r="L50" s="1212"/>
      <c r="M50" s="1588"/>
      <c r="N50" s="1588"/>
    </row>
    <row r="51" spans="1:14">
      <c r="A51" s="1579" t="s">
        <v>288</v>
      </c>
      <c r="B51" s="1579"/>
      <c r="C51" s="3109">
        <v>6.9000000000000006E-2</v>
      </c>
      <c r="D51"/>
      <c r="E51" s="2504">
        <v>0</v>
      </c>
      <c r="F51" s="1570"/>
      <c r="G51" s="2504">
        <v>0</v>
      </c>
      <c r="H51" s="1570"/>
      <c r="I51" s="2504">
        <v>0</v>
      </c>
      <c r="J51" s="1579"/>
      <c r="K51" s="1212">
        <f t="shared" si="2"/>
        <v>6.9000000000000006E-2</v>
      </c>
      <c r="L51" s="1212"/>
      <c r="M51" s="1588"/>
      <c r="N51" s="1588"/>
    </row>
    <row r="52" spans="1:14">
      <c r="A52" s="1579" t="s">
        <v>1363</v>
      </c>
      <c r="B52" s="1579"/>
      <c r="C52" s="3109">
        <v>10.597</v>
      </c>
      <c r="D52"/>
      <c r="E52" s="2504">
        <v>9.1999999999999998E-2</v>
      </c>
      <c r="F52" s="1570"/>
      <c r="G52" s="2504">
        <v>0.08</v>
      </c>
      <c r="H52" s="1570"/>
      <c r="I52" s="2504">
        <v>0</v>
      </c>
      <c r="J52" s="1579"/>
      <c r="K52" s="1212">
        <f t="shared" si="2"/>
        <v>10.609</v>
      </c>
      <c r="L52" s="1212"/>
      <c r="M52" s="1588"/>
      <c r="N52" s="1588"/>
    </row>
    <row r="53" spans="1:14">
      <c r="A53" s="1579" t="s">
        <v>289</v>
      </c>
      <c r="B53" s="1579"/>
      <c r="C53" s="3092">
        <v>0</v>
      </c>
      <c r="D53"/>
      <c r="E53" s="2504">
        <v>0</v>
      </c>
      <c r="F53" s="1570"/>
      <c r="G53" s="2504">
        <v>0</v>
      </c>
      <c r="H53" s="1570"/>
      <c r="I53" s="2504">
        <v>0</v>
      </c>
      <c r="J53" s="1579"/>
      <c r="K53" s="1212">
        <f t="shared" si="2"/>
        <v>0</v>
      </c>
      <c r="L53" s="1586"/>
      <c r="M53" s="1588"/>
      <c r="N53" s="1588"/>
    </row>
    <row r="54" spans="1:14">
      <c r="A54" s="1589" t="s">
        <v>290</v>
      </c>
      <c r="B54" s="1579"/>
      <c r="C54" s="3110">
        <v>3.4870000000000001</v>
      </c>
      <c r="D54"/>
      <c r="E54" s="2504">
        <v>1E-3</v>
      </c>
      <c r="F54" s="1570"/>
      <c r="G54" s="2504">
        <v>0</v>
      </c>
      <c r="H54" s="1570"/>
      <c r="I54" s="2504">
        <v>0</v>
      </c>
      <c r="J54" s="1579"/>
      <c r="K54" s="1212">
        <f t="shared" si="2"/>
        <v>3.488</v>
      </c>
      <c r="L54" s="1212"/>
      <c r="M54" s="1588"/>
      <c r="N54" s="1588"/>
    </row>
    <row r="55" spans="1:14">
      <c r="A55" s="1589" t="s">
        <v>291</v>
      </c>
      <c r="B55" s="1579"/>
      <c r="C55" s="3092">
        <v>0</v>
      </c>
      <c r="D55"/>
      <c r="E55" s="2504">
        <v>0</v>
      </c>
      <c r="F55" s="1570"/>
      <c r="G55" s="2504">
        <v>0</v>
      </c>
      <c r="H55" s="1570"/>
      <c r="I55" s="2504">
        <v>0</v>
      </c>
      <c r="J55" s="1579"/>
      <c r="K55" s="1212">
        <f t="shared" si="2"/>
        <v>0</v>
      </c>
      <c r="L55" s="1212"/>
      <c r="M55" s="1588"/>
      <c r="N55" s="1588"/>
    </row>
    <row r="56" spans="1:14">
      <c r="A56" s="1589" t="s">
        <v>292</v>
      </c>
      <c r="B56" s="1579"/>
      <c r="C56" s="3161">
        <v>1E-3</v>
      </c>
      <c r="D56"/>
      <c r="E56" s="2504">
        <v>0</v>
      </c>
      <c r="F56" s="1570"/>
      <c r="G56" s="2504">
        <v>0</v>
      </c>
      <c r="H56" s="1570"/>
      <c r="I56" s="2504">
        <v>0</v>
      </c>
      <c r="J56" s="1579"/>
      <c r="K56" s="1212">
        <f t="shared" si="2"/>
        <v>1E-3</v>
      </c>
      <c r="L56" s="1212"/>
      <c r="M56" s="1588"/>
      <c r="N56" s="1588"/>
    </row>
    <row r="57" spans="1:14">
      <c r="A57" s="1589" t="s">
        <v>293</v>
      </c>
      <c r="B57" s="1579"/>
      <c r="C57" s="3110">
        <v>0.81599999999999995</v>
      </c>
      <c r="D57"/>
      <c r="E57" s="2504">
        <v>0</v>
      </c>
      <c r="F57" s="1570"/>
      <c r="G57" s="2504">
        <v>0</v>
      </c>
      <c r="H57" s="1570"/>
      <c r="I57" s="2504">
        <v>0</v>
      </c>
      <c r="J57" s="1579"/>
      <c r="K57" s="1212">
        <f t="shared" si="2"/>
        <v>0.81599999999999995</v>
      </c>
      <c r="L57" s="1212"/>
      <c r="M57" s="1588"/>
      <c r="N57" s="1588"/>
    </row>
    <row r="58" spans="1:14">
      <c r="A58" s="1589" t="s">
        <v>294</v>
      </c>
      <c r="B58" s="1579"/>
      <c r="C58" s="3109">
        <v>858.41499999999996</v>
      </c>
      <c r="D58"/>
      <c r="E58" s="2504">
        <v>287.82499999999999</v>
      </c>
      <c r="F58" s="1570"/>
      <c r="G58" s="2504">
        <v>812.39499999999998</v>
      </c>
      <c r="H58" s="1570"/>
      <c r="I58" s="2504">
        <v>288.28500000000003</v>
      </c>
      <c r="J58" s="1579"/>
      <c r="K58" s="1212">
        <f t="shared" si="2"/>
        <v>622.13</v>
      </c>
      <c r="L58" s="1212"/>
      <c r="M58" s="1597"/>
      <c r="N58" s="1588"/>
    </row>
    <row r="59" spans="1:14">
      <c r="A59" s="812"/>
      <c r="B59" s="813"/>
      <c r="C59" s="3111"/>
      <c r="D59" s="813"/>
      <c r="E59" s="2508"/>
      <c r="F59" s="2508"/>
      <c r="G59" s="2508"/>
      <c r="H59" s="2508"/>
      <c r="I59" s="2508"/>
      <c r="J59" s="813"/>
      <c r="K59" s="1676"/>
      <c r="L59" s="830"/>
      <c r="M59" s="1588"/>
      <c r="N59" s="1588"/>
    </row>
    <row r="60" spans="1:14">
      <c r="A60" s="812"/>
      <c r="B60" s="813"/>
      <c r="C60" s="3111"/>
      <c r="D60" s="813"/>
      <c r="E60" s="2508"/>
      <c r="F60" s="2508"/>
      <c r="G60" s="2508"/>
      <c r="H60" s="2508"/>
      <c r="I60" s="2508"/>
      <c r="J60" s="813"/>
      <c r="K60" s="1676"/>
      <c r="L60" s="813"/>
    </row>
    <row r="61" spans="1:14">
      <c r="A61" s="824" t="s">
        <v>1262</v>
      </c>
      <c r="B61" s="1579"/>
      <c r="C61" s="3112"/>
      <c r="E61" s="2075"/>
      <c r="F61" s="2075"/>
      <c r="G61" s="2075"/>
      <c r="H61" s="2075"/>
      <c r="I61" s="2075"/>
      <c r="K61" s="1602"/>
      <c r="L61" s="1587"/>
      <c r="M61" s="1588"/>
      <c r="N61" s="1588"/>
    </row>
    <row r="62" spans="1:14">
      <c r="A62" s="1579" t="s">
        <v>295</v>
      </c>
      <c r="B62" s="1579"/>
      <c r="C62" s="3109">
        <v>15.981999999999999</v>
      </c>
      <c r="D62"/>
      <c r="E62" s="2504">
        <v>1E-3</v>
      </c>
      <c r="F62" s="1570"/>
      <c r="G62" s="2504">
        <v>0.64200000000000002</v>
      </c>
      <c r="H62" s="1570"/>
      <c r="I62" s="2504">
        <v>0</v>
      </c>
      <c r="J62" s="1579"/>
      <c r="K62" s="1212">
        <f>ROUND(SUM(C62)+SUM(E62)-SUM(G62)+SUM(I62),3)</f>
        <v>15.340999999999999</v>
      </c>
      <c r="L62" s="1587"/>
      <c r="M62" s="1588"/>
      <c r="N62" s="1588"/>
    </row>
    <row r="63" spans="1:14">
      <c r="A63" s="1579" t="s">
        <v>296</v>
      </c>
      <c r="B63" s="1581"/>
      <c r="C63" s="3161">
        <v>4.9000000000000002E-2</v>
      </c>
      <c r="D63"/>
      <c r="E63" s="2504">
        <v>0</v>
      </c>
      <c r="F63" s="1570"/>
      <c r="G63" s="2504">
        <v>0</v>
      </c>
      <c r="H63" s="1570"/>
      <c r="I63" s="2504">
        <v>0</v>
      </c>
      <c r="J63" s="1581"/>
      <c r="K63" s="1212">
        <f>ROUND(SUM(C63)+SUM(E63)-SUM(G63)+SUM(I63),3)</f>
        <v>4.9000000000000002E-2</v>
      </c>
      <c r="L63" s="1587"/>
      <c r="M63" s="1588"/>
      <c r="N63" s="1588"/>
    </row>
    <row r="64" spans="1:14">
      <c r="A64" s="1583" t="s">
        <v>297</v>
      </c>
      <c r="B64" s="1579"/>
      <c r="C64" s="3109">
        <v>1090.77</v>
      </c>
      <c r="D64"/>
      <c r="E64" s="2504">
        <v>414.41699999999997</v>
      </c>
      <c r="F64" s="1570"/>
      <c r="G64" s="2504">
        <v>499.48700000000002</v>
      </c>
      <c r="H64" s="1570"/>
      <c r="I64" s="2504">
        <v>12.802</v>
      </c>
      <c r="J64" s="1579"/>
      <c r="K64" s="1212">
        <f>ROUND(SUM(C64)+SUM(E64)-SUM(G64)+SUM(I64),3)</f>
        <v>1018.502</v>
      </c>
      <c r="L64" s="1587"/>
      <c r="M64" s="1588"/>
      <c r="N64" s="1588"/>
    </row>
    <row r="65" spans="1:14">
      <c r="A65" s="1589" t="s">
        <v>298</v>
      </c>
      <c r="B65" s="1579"/>
      <c r="C65" s="3109">
        <v>15.78</v>
      </c>
      <c r="D65"/>
      <c r="E65" s="2504">
        <v>1.8340000000000001</v>
      </c>
      <c r="F65" s="1570"/>
      <c r="G65" s="2504">
        <v>0.70799999999999996</v>
      </c>
      <c r="H65" s="1570"/>
      <c r="I65" s="2504">
        <v>0</v>
      </c>
      <c r="J65" s="1579"/>
      <c r="K65" s="1212">
        <f>ROUND(SUM(C65)+SUM(E65)-SUM(G65)+SUM(I65),3)</f>
        <v>16.905999999999999</v>
      </c>
      <c r="L65" s="1587"/>
      <c r="M65" s="1588"/>
      <c r="N65" s="1588"/>
    </row>
    <row r="66" spans="1:14">
      <c r="A66" s="1579" t="s">
        <v>299</v>
      </c>
      <c r="B66" s="1579"/>
      <c r="C66" s="3109">
        <v>0.48599999999999999</v>
      </c>
      <c r="D66"/>
      <c r="E66" s="2504">
        <v>0</v>
      </c>
      <c r="F66" s="1570"/>
      <c r="G66" s="2504">
        <v>6.2E-2</v>
      </c>
      <c r="H66" s="1570"/>
      <c r="I66" s="2504">
        <v>0</v>
      </c>
      <c r="J66" s="1579"/>
      <c r="K66" s="1212">
        <f>ROUND(SUM(C66)+SUM(E66)-SUM(G66)+SUM(I66),3)</f>
        <v>0.42399999999999999</v>
      </c>
      <c r="L66" s="1587"/>
      <c r="M66" s="1588"/>
      <c r="N66" s="1588"/>
    </row>
    <row r="67" spans="1:14">
      <c r="A67" s="1579" t="s">
        <v>300</v>
      </c>
      <c r="B67" s="1579"/>
      <c r="C67" s="3161" t="s">
        <v>16</v>
      </c>
      <c r="D67"/>
      <c r="E67" s="2505"/>
      <c r="F67" s="1570"/>
      <c r="G67" s="2505"/>
      <c r="H67" s="1570"/>
      <c r="I67" s="2504"/>
      <c r="J67" s="1579"/>
      <c r="K67" s="1212" t="s">
        <v>16</v>
      </c>
      <c r="L67" s="1587"/>
      <c r="M67" s="1588"/>
      <c r="N67" s="1588"/>
    </row>
    <row r="68" spans="1:14">
      <c r="A68" s="1579" t="s">
        <v>301</v>
      </c>
      <c r="B68" s="1579"/>
      <c r="C68" s="3109">
        <v>41.908000000000001</v>
      </c>
      <c r="D68"/>
      <c r="E68" s="2504">
        <v>4.3120000000000003</v>
      </c>
      <c r="F68" s="1570"/>
      <c r="G68" s="2504">
        <v>0.36499999999999999</v>
      </c>
      <c r="H68" s="1570"/>
      <c r="I68" s="2504">
        <v>0</v>
      </c>
      <c r="J68" s="1579"/>
      <c r="K68" s="1212">
        <f>ROUND(SUM(C68)+SUM(E68)-SUM(G68)+SUM(I68),3)</f>
        <v>45.854999999999997</v>
      </c>
      <c r="L68" s="1587"/>
      <c r="M68" s="1588"/>
      <c r="N68" s="1588"/>
    </row>
    <row r="69" spans="1:14">
      <c r="A69" s="1579" t="s">
        <v>302</v>
      </c>
      <c r="B69" s="816"/>
      <c r="C69" s="3109">
        <v>0.29299999999999998</v>
      </c>
      <c r="D69"/>
      <c r="E69" s="2504">
        <v>0</v>
      </c>
      <c r="F69" s="1570"/>
      <c r="G69" s="2504">
        <v>2.1000000000000001E-2</v>
      </c>
      <c r="H69" s="1570"/>
      <c r="I69" s="2504">
        <v>0</v>
      </c>
      <c r="J69" s="830"/>
      <c r="K69" s="1212">
        <f t="shared" ref="K69:K84" si="3">ROUND(SUM(C69)+SUM(E69)-SUM(G69)+SUM(I69),3)</f>
        <v>0.27200000000000002</v>
      </c>
      <c r="L69" s="1587"/>
      <c r="M69" s="1588"/>
      <c r="N69" s="1588"/>
    </row>
    <row r="70" spans="1:14">
      <c r="A70" s="1579" t="s">
        <v>303</v>
      </c>
      <c r="B70" s="1579"/>
      <c r="C70" s="3161">
        <v>2.3E-2</v>
      </c>
      <c r="D70"/>
      <c r="E70" s="2504">
        <v>0</v>
      </c>
      <c r="F70" s="1570"/>
      <c r="G70" s="2504">
        <v>0</v>
      </c>
      <c r="H70" s="1570"/>
      <c r="I70" s="2504">
        <v>0</v>
      </c>
      <c r="J70" s="1579"/>
      <c r="K70" s="1212">
        <f t="shared" si="3"/>
        <v>2.3E-2</v>
      </c>
      <c r="L70" s="1587"/>
      <c r="M70" s="1588"/>
      <c r="N70" s="1588"/>
    </row>
    <row r="71" spans="1:14">
      <c r="A71" s="1589" t="s">
        <v>304</v>
      </c>
      <c r="B71" s="1579"/>
      <c r="C71" s="3110">
        <v>10.851000000000001</v>
      </c>
      <c r="D71"/>
      <c r="E71" s="2504">
        <v>1E-3</v>
      </c>
      <c r="F71" s="1570"/>
      <c r="G71" s="2504">
        <v>0.2</v>
      </c>
      <c r="H71" s="1570"/>
      <c r="I71" s="2504">
        <v>0</v>
      </c>
      <c r="J71" s="1579"/>
      <c r="K71" s="1212">
        <f t="shared" si="3"/>
        <v>10.651999999999999</v>
      </c>
      <c r="L71" s="1587"/>
      <c r="M71" s="1588"/>
      <c r="N71" s="1588"/>
    </row>
    <row r="72" spans="1:14">
      <c r="A72" s="1579" t="s">
        <v>305</v>
      </c>
      <c r="B72" s="1579"/>
      <c r="C72" s="3109">
        <v>-5.9630000000000001</v>
      </c>
      <c r="D72"/>
      <c r="E72" s="2504">
        <v>3.6999999999999998E-2</v>
      </c>
      <c r="F72" s="1570"/>
      <c r="G72" s="2504">
        <v>0.255</v>
      </c>
      <c r="H72" s="1570"/>
      <c r="I72" s="2504">
        <v>0</v>
      </c>
      <c r="J72" s="1579"/>
      <c r="K72" s="1212">
        <f t="shared" si="3"/>
        <v>-6.181</v>
      </c>
      <c r="L72" s="1587"/>
      <c r="M72" s="1588"/>
      <c r="N72" s="1588"/>
    </row>
    <row r="73" spans="1:14">
      <c r="A73" s="1579" t="s">
        <v>306</v>
      </c>
      <c r="B73" s="1579"/>
      <c r="C73" s="3109">
        <v>0.159</v>
      </c>
      <c r="D73"/>
      <c r="E73" s="2504">
        <v>6.0000000000000001E-3</v>
      </c>
      <c r="F73" s="1570"/>
      <c r="G73" s="2504">
        <v>0</v>
      </c>
      <c r="H73" s="1570"/>
      <c r="I73" s="2504">
        <v>0</v>
      </c>
      <c r="J73" s="1579"/>
      <c r="K73" s="1212">
        <f t="shared" si="3"/>
        <v>0.16500000000000001</v>
      </c>
      <c r="L73" s="1587"/>
      <c r="M73" s="1588"/>
      <c r="N73" s="1588"/>
    </row>
    <row r="74" spans="1:14">
      <c r="A74" s="1579" t="s">
        <v>307</v>
      </c>
      <c r="B74" s="1579"/>
      <c r="C74" s="3161"/>
      <c r="D74"/>
      <c r="E74" s="2505"/>
      <c r="F74" s="1570"/>
      <c r="G74" s="2505"/>
      <c r="H74" s="1570"/>
      <c r="I74" s="2505"/>
      <c r="J74" s="1579"/>
      <c r="K74" s="1212"/>
      <c r="L74" s="1587"/>
      <c r="M74" s="1588"/>
      <c r="N74" s="1588"/>
    </row>
    <row r="75" spans="1:14">
      <c r="A75" s="1579" t="s">
        <v>308</v>
      </c>
      <c r="B75" s="1579"/>
      <c r="C75" s="3109">
        <v>-9.6750000000000007</v>
      </c>
      <c r="D75"/>
      <c r="E75" s="2504">
        <v>2.9689999999999999</v>
      </c>
      <c r="F75" s="1570"/>
      <c r="G75" s="2504">
        <v>0.34100000000000003</v>
      </c>
      <c r="H75" s="1570"/>
      <c r="I75" s="2504">
        <v>0</v>
      </c>
      <c r="J75" s="1579"/>
      <c r="K75" s="1212">
        <f t="shared" si="3"/>
        <v>-7.0469999999999997</v>
      </c>
      <c r="L75" s="1587"/>
      <c r="M75" s="1588"/>
      <c r="N75" s="1588"/>
    </row>
    <row r="76" spans="1:14">
      <c r="A76" s="1579" t="s">
        <v>309</v>
      </c>
      <c r="B76" s="1579"/>
      <c r="C76" s="3109">
        <v>-34.076999999999998</v>
      </c>
      <c r="D76"/>
      <c r="E76" s="2504">
        <v>0</v>
      </c>
      <c r="F76" s="1570"/>
      <c r="G76" s="2504">
        <v>1.901</v>
      </c>
      <c r="H76" s="1570"/>
      <c r="I76" s="2504">
        <v>0</v>
      </c>
      <c r="J76" s="1579"/>
      <c r="K76" s="1212">
        <f t="shared" si="3"/>
        <v>-35.978000000000002</v>
      </c>
      <c r="L76" s="1212"/>
      <c r="M76" s="1588"/>
      <c r="N76" s="1588"/>
    </row>
    <row r="77" spans="1:14">
      <c r="A77" s="1579" t="s">
        <v>310</v>
      </c>
      <c r="B77" s="1579"/>
      <c r="C77" s="3109">
        <v>7.5250000000000004</v>
      </c>
      <c r="D77"/>
      <c r="E77" s="2504">
        <v>3.6789999999999998</v>
      </c>
      <c r="F77" s="1570"/>
      <c r="G77" s="2504">
        <v>1.708</v>
      </c>
      <c r="H77" s="1570"/>
      <c r="I77" s="2504">
        <v>0</v>
      </c>
      <c r="J77" s="1579"/>
      <c r="K77" s="1212">
        <f t="shared" si="3"/>
        <v>9.4960000000000004</v>
      </c>
      <c r="L77" s="1587"/>
      <c r="M77" s="1588"/>
      <c r="N77" s="1588"/>
    </row>
    <row r="78" spans="1:14">
      <c r="A78" s="1579" t="s">
        <v>1306</v>
      </c>
      <c r="B78" s="1579"/>
      <c r="C78" s="3109">
        <v>113.608</v>
      </c>
      <c r="D78"/>
      <c r="E78" s="2504">
        <v>5.0149999999999997</v>
      </c>
      <c r="F78" s="1570"/>
      <c r="G78" s="2504">
        <v>5.5460000000000003</v>
      </c>
      <c r="H78" s="1570"/>
      <c r="I78" s="2504">
        <v>0</v>
      </c>
      <c r="J78" s="1579"/>
      <c r="K78" s="1212">
        <f t="shared" si="3"/>
        <v>113.077</v>
      </c>
      <c r="L78" s="1587"/>
      <c r="M78" s="1588"/>
      <c r="N78" s="1588"/>
    </row>
    <row r="79" spans="1:14">
      <c r="A79" s="1579" t="s">
        <v>311</v>
      </c>
      <c r="B79" s="1579"/>
      <c r="C79" s="3109">
        <v>0.09</v>
      </c>
      <c r="D79"/>
      <c r="E79" s="2504">
        <v>2E-3</v>
      </c>
      <c r="F79" s="1570"/>
      <c r="G79" s="2504">
        <v>0</v>
      </c>
      <c r="H79" s="1570"/>
      <c r="I79" s="2504">
        <v>0</v>
      </c>
      <c r="J79" s="1579"/>
      <c r="K79" s="1212">
        <f t="shared" si="3"/>
        <v>9.1999999999999998E-2</v>
      </c>
      <c r="L79" s="1212"/>
      <c r="M79" s="1588"/>
      <c r="N79" s="1588"/>
    </row>
    <row r="80" spans="1:14">
      <c r="A80" s="1589" t="s">
        <v>312</v>
      </c>
      <c r="B80" s="1579"/>
      <c r="C80" s="3109">
        <v>108.709</v>
      </c>
      <c r="D80"/>
      <c r="E80" s="2504">
        <v>9.5660000000000007</v>
      </c>
      <c r="F80" s="1570"/>
      <c r="G80" s="2504">
        <v>1.3819999999999999</v>
      </c>
      <c r="H80" s="1570"/>
      <c r="I80" s="2504">
        <v>0</v>
      </c>
      <c r="J80" s="1579"/>
      <c r="K80" s="1212">
        <f t="shared" si="3"/>
        <v>116.893</v>
      </c>
      <c r="L80" s="1587"/>
      <c r="M80" s="1588"/>
      <c r="N80" s="1588"/>
    </row>
    <row r="81" spans="1:15">
      <c r="A81" s="1579" t="s">
        <v>313</v>
      </c>
      <c r="B81" s="1579"/>
      <c r="C81" s="3109">
        <v>10.55</v>
      </c>
      <c r="D81"/>
      <c r="E81" s="2504">
        <v>1.1919999999999999</v>
      </c>
      <c r="F81" s="1570"/>
      <c r="G81" s="2504">
        <v>8.5000000000000006E-2</v>
      </c>
      <c r="H81" s="1570"/>
      <c r="I81" s="2504">
        <v>0</v>
      </c>
      <c r="J81" s="1579"/>
      <c r="K81" s="1212">
        <f t="shared" si="3"/>
        <v>11.657</v>
      </c>
      <c r="L81" s="1587"/>
      <c r="M81" s="1588"/>
      <c r="N81" s="1588"/>
    </row>
    <row r="82" spans="1:15">
      <c r="A82" s="1589" t="s">
        <v>314</v>
      </c>
      <c r="B82" s="1579"/>
      <c r="C82" s="3109">
        <v>76.867000000000004</v>
      </c>
      <c r="D82"/>
      <c r="E82" s="2504">
        <v>133.94499999999999</v>
      </c>
      <c r="F82" s="1570"/>
      <c r="G82" s="2504">
        <v>81.882000000000005</v>
      </c>
      <c r="H82" s="1570"/>
      <c r="I82" s="2504">
        <v>62.07</v>
      </c>
      <c r="J82" s="1579"/>
      <c r="K82" s="1212">
        <f t="shared" si="3"/>
        <v>191</v>
      </c>
      <c r="L82" s="1212"/>
      <c r="M82" s="1588"/>
      <c r="N82" s="1588"/>
    </row>
    <row r="83" spans="1:15">
      <c r="A83" s="1589" t="s">
        <v>1081</v>
      </c>
      <c r="B83" s="1579"/>
      <c r="C83" s="3109">
        <v>-0.5</v>
      </c>
      <c r="D83"/>
      <c r="E83" s="2504">
        <v>0</v>
      </c>
      <c r="F83" s="1570"/>
      <c r="G83" s="2504">
        <v>6.7000000000000004E-2</v>
      </c>
      <c r="H83" s="1570"/>
      <c r="I83" s="2504">
        <v>0</v>
      </c>
      <c r="J83" s="1579"/>
      <c r="K83" s="1212">
        <f t="shared" si="3"/>
        <v>-0.56699999999999995</v>
      </c>
      <c r="L83" s="1212"/>
      <c r="M83" s="1588"/>
      <c r="N83" s="1588"/>
    </row>
    <row r="84" spans="1:15">
      <c r="A84" s="1570" t="s">
        <v>1229</v>
      </c>
      <c r="B84" s="1579"/>
      <c r="C84" s="3109">
        <v>120.395</v>
      </c>
      <c r="D84"/>
      <c r="E84" s="2504">
        <v>-6.8360000000000003</v>
      </c>
      <c r="F84" s="1570"/>
      <c r="G84" s="2504">
        <v>0</v>
      </c>
      <c r="H84" s="1570"/>
      <c r="I84" s="2504">
        <v>-26.385999999999999</v>
      </c>
      <c r="J84" s="1579"/>
      <c r="K84" s="1212">
        <f t="shared" si="3"/>
        <v>87.173000000000002</v>
      </c>
      <c r="L84" s="1212"/>
      <c r="M84" s="1588"/>
      <c r="N84" s="1588"/>
    </row>
    <row r="85" spans="1:15">
      <c r="A85" s="817" t="s">
        <v>315</v>
      </c>
      <c r="B85" s="1579"/>
      <c r="C85" s="835">
        <f>ROUND(SUM(C27:C84),3)</f>
        <v>2336.808</v>
      </c>
      <c r="D85" s="812"/>
      <c r="E85" s="835">
        <f>ROUND(SUM(E27:E84),3)</f>
        <v>1797.473</v>
      </c>
      <c r="F85" s="833"/>
      <c r="G85" s="835">
        <f>ROUND(SUM(G27:G84),3)</f>
        <v>2358.9140000000002</v>
      </c>
      <c r="H85" s="812"/>
      <c r="I85" s="835">
        <f>ROUND(SUM(I27:I84),3)</f>
        <v>333.40600000000001</v>
      </c>
      <c r="J85" s="812"/>
      <c r="K85" s="841">
        <f>ROUND(SUM(K27:K84),3)</f>
        <v>2108.7730000000001</v>
      </c>
      <c r="L85" s="818"/>
      <c r="M85" s="838"/>
      <c r="N85" s="1588"/>
      <c r="O85" s="1598"/>
    </row>
    <row r="86" spans="1:15" ht="11.25" customHeight="1">
      <c r="A86" s="1579"/>
      <c r="B86" s="1579"/>
      <c r="C86" s="1580"/>
      <c r="D86" s="1579"/>
      <c r="E86" s="1592"/>
      <c r="F86" s="1579"/>
      <c r="G86" s="1580"/>
      <c r="H86" s="1579"/>
      <c r="I86" s="1580"/>
      <c r="J86" s="1579"/>
      <c r="K86" s="1592"/>
      <c r="L86" s="1580"/>
      <c r="M86" s="1588"/>
      <c r="N86" s="1588"/>
    </row>
    <row r="87" spans="1:15">
      <c r="A87" s="824" t="s">
        <v>316</v>
      </c>
      <c r="B87" s="1579"/>
      <c r="C87" s="1579"/>
      <c r="D87" s="1579"/>
      <c r="E87" s="1583"/>
      <c r="F87" s="1579"/>
      <c r="G87" s="1583"/>
      <c r="H87" s="1579"/>
      <c r="I87" s="1583"/>
      <c r="J87" s="1579"/>
      <c r="K87" s="1583"/>
      <c r="L87" s="1579"/>
      <c r="M87" s="1588"/>
      <c r="N87" s="1588"/>
    </row>
    <row r="88" spans="1:15">
      <c r="A88" s="1579" t="s">
        <v>1307</v>
      </c>
      <c r="B88" s="1579"/>
      <c r="C88" s="1587">
        <v>-5.2690000000000001</v>
      </c>
      <c r="D88" s="1579"/>
      <c r="E88" s="2504">
        <v>212.38300000000001</v>
      </c>
      <c r="F88" s="1570"/>
      <c r="G88" s="2504">
        <v>195.54300000000001</v>
      </c>
      <c r="H88" s="1570"/>
      <c r="I88" s="2504">
        <v>0</v>
      </c>
      <c r="J88" s="1579"/>
      <c r="K88" s="1212">
        <f>ROUND(SUM(C88)+SUM(E88)-SUM(G88)+SUM(I88),3)</f>
        <v>11.571</v>
      </c>
      <c r="L88" s="1587"/>
      <c r="M88" s="1588"/>
      <c r="N88" s="1588"/>
    </row>
    <row r="89" spans="1:15">
      <c r="A89" s="1579" t="s">
        <v>317</v>
      </c>
      <c r="B89" s="1579"/>
      <c r="C89" s="1587">
        <v>-18.436</v>
      </c>
      <c r="D89" s="1579"/>
      <c r="E89" s="2504">
        <v>3033.241</v>
      </c>
      <c r="F89" s="1570"/>
      <c r="G89" s="2504">
        <v>2830.48</v>
      </c>
      <c r="H89" s="1570"/>
      <c r="I89" s="2504">
        <v>-258.98500000000001</v>
      </c>
      <c r="J89" s="1579"/>
      <c r="K89" s="1212">
        <f t="shared" ref="K89:K94" si="4">ROUND(SUM(C89)+SUM(E89)-SUM(G89)+SUM(I89),3)</f>
        <v>-74.66</v>
      </c>
      <c r="L89" s="1587"/>
      <c r="M89" s="1588"/>
      <c r="N89" s="1588"/>
    </row>
    <row r="90" spans="1:15">
      <c r="A90" s="1579" t="s">
        <v>318</v>
      </c>
      <c r="B90" s="830"/>
      <c r="C90" s="1587">
        <v>-38.067999999999998</v>
      </c>
      <c r="D90" s="1579"/>
      <c r="E90" s="2504">
        <v>183.16</v>
      </c>
      <c r="F90" s="1570"/>
      <c r="G90" s="2504">
        <v>197.44900000000001</v>
      </c>
      <c r="H90" s="1570"/>
      <c r="I90" s="2504">
        <v>0</v>
      </c>
      <c r="J90" s="1579"/>
      <c r="K90" s="1212">
        <f t="shared" si="4"/>
        <v>-52.356999999999999</v>
      </c>
      <c r="L90" s="1212"/>
      <c r="M90" s="1588"/>
      <c r="N90" s="1588"/>
    </row>
    <row r="91" spans="1:15">
      <c r="A91" s="1579" t="s">
        <v>319</v>
      </c>
      <c r="B91" s="1579"/>
      <c r="C91" s="1587">
        <v>-207.953</v>
      </c>
      <c r="D91" s="1579"/>
      <c r="E91" s="2504">
        <v>172.66399999999999</v>
      </c>
      <c r="F91" s="1570"/>
      <c r="G91" s="2504">
        <v>66.700999999999993</v>
      </c>
      <c r="H91" s="1570"/>
      <c r="I91" s="2504">
        <v>0</v>
      </c>
      <c r="J91" s="1579"/>
      <c r="K91" s="1212">
        <f t="shared" si="4"/>
        <v>-101.99</v>
      </c>
      <c r="L91" s="1587"/>
      <c r="M91" s="1588"/>
      <c r="N91" s="1588"/>
    </row>
    <row r="92" spans="1:15">
      <c r="A92" s="1579" t="s">
        <v>320</v>
      </c>
      <c r="B92" s="1579"/>
      <c r="C92" s="1587">
        <v>80.88</v>
      </c>
      <c r="D92" s="1579"/>
      <c r="E92" s="2504">
        <v>10.077999999999999</v>
      </c>
      <c r="F92" s="1570"/>
      <c r="G92" s="2504">
        <v>20.6</v>
      </c>
      <c r="H92" s="1570"/>
      <c r="I92" s="2504">
        <v>0</v>
      </c>
      <c r="J92" s="1579"/>
      <c r="K92" s="1212">
        <f t="shared" si="4"/>
        <v>70.358000000000004</v>
      </c>
      <c r="L92" s="1212"/>
      <c r="M92" s="1588"/>
      <c r="N92" s="1588"/>
    </row>
    <row r="93" spans="1:15">
      <c r="A93" s="1583" t="s">
        <v>321</v>
      </c>
      <c r="B93" s="1579"/>
      <c r="C93" s="1586">
        <v>1.611</v>
      </c>
      <c r="D93" s="1579"/>
      <c r="E93" s="2504">
        <v>0.9</v>
      </c>
      <c r="F93" s="1570"/>
      <c r="G93" s="2504">
        <v>1.0089999999999999</v>
      </c>
      <c r="H93" s="1570"/>
      <c r="I93" s="2504">
        <v>0</v>
      </c>
      <c r="J93" s="1583"/>
      <c r="K93" s="1212">
        <f t="shared" si="4"/>
        <v>1.502</v>
      </c>
      <c r="L93" s="1587"/>
      <c r="M93" s="1588"/>
      <c r="N93" s="1588"/>
    </row>
    <row r="94" spans="1:15">
      <c r="A94" s="1589" t="s">
        <v>322</v>
      </c>
      <c r="B94" s="1579"/>
      <c r="C94" s="1586">
        <v>-0.51800000000000002</v>
      </c>
      <c r="D94" s="1579"/>
      <c r="E94" s="2504">
        <v>10.019</v>
      </c>
      <c r="F94" s="1570"/>
      <c r="G94" s="2504">
        <v>10.801</v>
      </c>
      <c r="H94" s="1570"/>
      <c r="I94" s="2504">
        <v>0</v>
      </c>
      <c r="J94" s="1579"/>
      <c r="K94" s="1212">
        <f t="shared" si="4"/>
        <v>-1.3</v>
      </c>
      <c r="L94" s="1212"/>
      <c r="M94" s="1588"/>
      <c r="N94" s="1588"/>
    </row>
    <row r="95" spans="1:15">
      <c r="A95" s="817" t="s">
        <v>323</v>
      </c>
      <c r="B95" s="1579"/>
      <c r="C95" s="835">
        <f>ROUND(SUM(C88:C94),3)</f>
        <v>-187.75299999999999</v>
      </c>
      <c r="D95" s="812"/>
      <c r="E95" s="841">
        <f>ROUND(SUM(E88:E94),3)</f>
        <v>3622.4450000000002</v>
      </c>
      <c r="F95" s="812"/>
      <c r="G95" s="841">
        <f>ROUND(SUM(G88:G94),3)</f>
        <v>3322.5830000000001</v>
      </c>
      <c r="H95" s="833"/>
      <c r="I95" s="841">
        <f>ROUND(SUM(I88:I94),3)</f>
        <v>-258.98500000000001</v>
      </c>
      <c r="J95" s="812"/>
      <c r="K95" s="835">
        <f>ROUND(SUM(K88:K94),3)</f>
        <v>-146.876</v>
      </c>
      <c r="L95" s="818"/>
      <c r="M95" s="1588"/>
      <c r="N95" s="1588"/>
    </row>
    <row r="96" spans="1:15" ht="12" customHeight="1">
      <c r="A96" s="812"/>
      <c r="B96" s="1579"/>
      <c r="C96" s="1580"/>
      <c r="D96" s="1579"/>
      <c r="E96" s="1580"/>
      <c r="F96" s="1579"/>
      <c r="G96" s="1580"/>
      <c r="H96" s="1579"/>
      <c r="I96" s="1580"/>
      <c r="J96" s="1579"/>
      <c r="K96" s="1580"/>
      <c r="L96" s="1580"/>
      <c r="M96" s="1588"/>
      <c r="N96" s="1588"/>
    </row>
    <row r="97" spans="1:15">
      <c r="A97" s="836" t="s">
        <v>324</v>
      </c>
      <c r="B97" s="1579"/>
      <c r="C97" s="837">
        <f>C85+C95</f>
        <v>2149.0549999999998</v>
      </c>
      <c r="D97" s="812"/>
      <c r="E97" s="837">
        <f>E85+E95</f>
        <v>5419.9179999999997</v>
      </c>
      <c r="F97" s="812"/>
      <c r="G97" s="837">
        <f>G85+G95</f>
        <v>5681.4970000000003</v>
      </c>
      <c r="H97" s="812"/>
      <c r="I97" s="837">
        <f>I85+I95</f>
        <v>74.420999999999992</v>
      </c>
      <c r="J97" s="812"/>
      <c r="K97" s="837">
        <f>K85+K95</f>
        <v>1961.8970000000002</v>
      </c>
      <c r="L97" s="818"/>
      <c r="M97" s="838"/>
      <c r="N97" s="838"/>
      <c r="O97" s="1588"/>
    </row>
    <row r="98" spans="1:15" ht="10.5" customHeight="1">
      <c r="A98" s="1599"/>
      <c r="B98" s="1579"/>
      <c r="C98" s="1580"/>
      <c r="D98" s="1579"/>
      <c r="E98" s="1592"/>
      <c r="F98" s="1583"/>
      <c r="G98" s="1592"/>
      <c r="H98" s="1583"/>
      <c r="I98" s="1592"/>
      <c r="J98" s="1583"/>
      <c r="K98" s="1592"/>
      <c r="L98" s="1592"/>
      <c r="M98" s="1588"/>
      <c r="N98" s="1588"/>
    </row>
    <row r="99" spans="1:15" ht="17.25">
      <c r="A99" s="824" t="s">
        <v>195</v>
      </c>
      <c r="B99" s="1579"/>
      <c r="C99" s="1579"/>
      <c r="D99" s="1579"/>
      <c r="E99" s="1376"/>
      <c r="F99" s="1376"/>
      <c r="G99" s="1376"/>
      <c r="H99" s="1376"/>
      <c r="I99" s="1376"/>
      <c r="J99" s="830"/>
      <c r="K99" s="1376"/>
      <c r="L99" s="1579"/>
      <c r="M99" s="1588"/>
      <c r="N99" s="1588"/>
    </row>
    <row r="100" spans="1:15">
      <c r="A100" s="1579" t="s">
        <v>325</v>
      </c>
      <c r="B100" s="1579"/>
      <c r="C100" s="1600">
        <v>0</v>
      </c>
      <c r="D100" s="1579"/>
      <c r="E100" s="2509">
        <v>0</v>
      </c>
      <c r="F100" s="1570"/>
      <c r="G100" s="2509">
        <v>0</v>
      </c>
      <c r="H100" s="1570"/>
      <c r="I100" s="2509">
        <v>0</v>
      </c>
      <c r="J100" s="1579"/>
      <c r="K100" s="1586">
        <f>ROUND(SUM(C100)+SUM(E100)+SUM(I100)-SUM(G100),3)</f>
        <v>0</v>
      </c>
      <c r="L100" s="1586"/>
      <c r="M100" s="1588"/>
      <c r="N100" s="1588"/>
    </row>
    <row r="101" spans="1:15">
      <c r="A101" s="1583" t="s">
        <v>326</v>
      </c>
      <c r="B101" s="1583"/>
      <c r="C101" s="1586">
        <v>68.134</v>
      </c>
      <c r="D101" s="1577"/>
      <c r="E101" s="2504">
        <v>22.291</v>
      </c>
      <c r="F101" s="2502"/>
      <c r="G101" s="2504">
        <v>1E-3</v>
      </c>
      <c r="H101" s="2502"/>
      <c r="I101" s="2504">
        <v>171.102</v>
      </c>
      <c r="J101" s="1583"/>
      <c r="K101" s="1586">
        <f t="shared" ref="K101:K106" si="5">ROUND(SUM(C101)+SUM(E101)+SUM(I101)-SUM(G101),3)</f>
        <v>261.52600000000001</v>
      </c>
      <c r="L101" s="1593"/>
      <c r="M101" s="1588"/>
      <c r="N101" s="1588"/>
    </row>
    <row r="102" spans="1:15">
      <c r="A102" s="1579" t="s">
        <v>327</v>
      </c>
      <c r="B102" s="1579"/>
      <c r="C102" s="1586">
        <v>21.547999999999998</v>
      </c>
      <c r="D102" s="1581"/>
      <c r="E102" s="2510">
        <v>854.697</v>
      </c>
      <c r="F102" s="2502"/>
      <c r="G102" s="2510">
        <v>144.12700000000001</v>
      </c>
      <c r="H102" s="2502"/>
      <c r="I102" s="2510">
        <v>-358.173</v>
      </c>
      <c r="J102" s="1579"/>
      <c r="K102" s="1586">
        <f t="shared" si="5"/>
        <v>373.94499999999999</v>
      </c>
      <c r="L102" s="1593"/>
      <c r="M102" s="1588"/>
      <c r="N102" s="1588"/>
    </row>
    <row r="103" spans="1:15">
      <c r="A103" s="1579" t="s">
        <v>328</v>
      </c>
      <c r="B103" s="1579"/>
      <c r="C103" s="1586">
        <v>0</v>
      </c>
      <c r="D103" s="1581"/>
      <c r="E103" s="2504">
        <v>0</v>
      </c>
      <c r="F103" s="2501"/>
      <c r="G103" s="2504">
        <v>1.3580000000000001</v>
      </c>
      <c r="H103" s="2501"/>
      <c r="I103" s="2504">
        <v>1.3580000000000001</v>
      </c>
      <c r="J103" s="1579"/>
      <c r="K103" s="1586">
        <f t="shared" si="5"/>
        <v>0</v>
      </c>
      <c r="L103" s="1586"/>
      <c r="M103" s="1588"/>
      <c r="N103" s="1588"/>
    </row>
    <row r="104" spans="1:15">
      <c r="A104" s="1579" t="s">
        <v>329</v>
      </c>
      <c r="B104" s="1579"/>
      <c r="C104" s="1212">
        <v>30.027999999999999</v>
      </c>
      <c r="D104" s="1581"/>
      <c r="E104" s="2504">
        <v>8.5830000000000002</v>
      </c>
      <c r="F104" s="2501"/>
      <c r="G104" s="2504">
        <v>0</v>
      </c>
      <c r="H104" s="2501"/>
      <c r="I104" s="2510">
        <v>-10.834</v>
      </c>
      <c r="J104" s="1579"/>
      <c r="K104" s="1586">
        <f t="shared" si="5"/>
        <v>27.777000000000001</v>
      </c>
      <c r="L104" s="1593"/>
      <c r="M104" s="1588"/>
      <c r="N104" s="1588"/>
    </row>
    <row r="105" spans="1:15">
      <c r="A105" s="1579" t="s">
        <v>330</v>
      </c>
      <c r="B105" s="1579"/>
      <c r="C105" s="1586">
        <v>13.407999999999999</v>
      </c>
      <c r="D105" s="1581"/>
      <c r="E105" s="2504">
        <v>80.728999999999999</v>
      </c>
      <c r="F105" s="2501"/>
      <c r="G105" s="2504">
        <v>0</v>
      </c>
      <c r="H105" s="2501"/>
      <c r="I105" s="2510">
        <v>-76.771000000000001</v>
      </c>
      <c r="J105" s="1579"/>
      <c r="K105" s="1586">
        <f t="shared" si="5"/>
        <v>17.366</v>
      </c>
      <c r="L105" s="1593"/>
      <c r="M105" s="1588"/>
      <c r="N105" s="1588"/>
    </row>
    <row r="106" spans="1:15">
      <c r="A106" s="1589" t="s">
        <v>331</v>
      </c>
      <c r="B106" s="1583"/>
      <c r="C106" s="1586">
        <v>3.7040000000000002</v>
      </c>
      <c r="D106" s="1583"/>
      <c r="E106" s="2510">
        <v>232.83099999999999</v>
      </c>
      <c r="F106" s="2502"/>
      <c r="G106" s="2504">
        <v>0.13</v>
      </c>
      <c r="H106" s="2502"/>
      <c r="I106" s="2510">
        <v>-233.262</v>
      </c>
      <c r="J106" s="1583"/>
      <c r="K106" s="1586">
        <f t="shared" si="5"/>
        <v>3.1429999999999998</v>
      </c>
      <c r="L106" s="1593"/>
      <c r="M106" s="1588"/>
      <c r="N106" s="1588"/>
    </row>
    <row r="107" spans="1:15">
      <c r="A107" s="839" t="s">
        <v>332</v>
      </c>
      <c r="B107" s="1601"/>
      <c r="C107" s="835">
        <f>ROUND(SUM(C100:C106),3)</f>
        <v>136.822</v>
      </c>
      <c r="D107" s="1377"/>
      <c r="E107" s="835">
        <f>ROUND(SUM(E100:E106),3)</f>
        <v>1199.1310000000001</v>
      </c>
      <c r="F107" s="1377"/>
      <c r="G107" s="835">
        <f>ROUND(SUM(G100:G106),3)</f>
        <v>145.61600000000001</v>
      </c>
      <c r="H107" s="1377"/>
      <c r="I107" s="1378">
        <f>ROUND(SUM(I100:I106),3)</f>
        <v>-506.58</v>
      </c>
      <c r="J107" s="1377"/>
      <c r="K107" s="1378">
        <f>ROUND(SUM(K100:K106),3)</f>
        <v>683.75699999999995</v>
      </c>
      <c r="L107" s="1379"/>
      <c r="M107" s="838"/>
      <c r="N107" s="1588"/>
    </row>
    <row r="108" spans="1:15">
      <c r="A108" s="1579"/>
      <c r="B108" s="1579"/>
      <c r="C108" s="1580"/>
      <c r="D108" s="1579"/>
      <c r="E108" s="1580"/>
      <c r="F108" s="1579"/>
      <c r="G108" s="1580"/>
      <c r="H108" s="1579"/>
      <c r="I108" s="1580"/>
      <c r="J108" s="1579"/>
      <c r="K108" s="1580" t="s">
        <v>16</v>
      </c>
      <c r="L108" s="1580"/>
      <c r="M108" s="1588"/>
      <c r="N108" s="1588"/>
    </row>
    <row r="109" spans="1:15">
      <c r="A109" s="812"/>
      <c r="B109" s="813"/>
      <c r="C109" s="813"/>
      <c r="D109" s="813"/>
      <c r="E109" s="813"/>
      <c r="F109" s="813"/>
      <c r="G109" s="813"/>
      <c r="H109" s="813"/>
      <c r="I109" s="813"/>
      <c r="J109" s="813"/>
      <c r="K109" s="813"/>
      <c r="L109" s="813"/>
    </row>
    <row r="110" spans="1:15">
      <c r="A110" s="840" t="s">
        <v>1263</v>
      </c>
      <c r="B110" s="1579"/>
      <c r="K110" s="1588"/>
      <c r="L110" s="1587"/>
      <c r="M110" s="1588"/>
      <c r="N110" s="1588"/>
    </row>
    <row r="111" spans="1:15" s="1603" customFormat="1">
      <c r="A111" s="1583" t="s">
        <v>333</v>
      </c>
      <c r="B111" s="1577"/>
      <c r="C111" s="3092">
        <v>0</v>
      </c>
      <c r="D111"/>
      <c r="E111" s="2511">
        <v>0</v>
      </c>
      <c r="F111" s="2502"/>
      <c r="G111" s="2511">
        <v>178.07</v>
      </c>
      <c r="H111" s="2502"/>
      <c r="I111" s="2511">
        <v>178.07</v>
      </c>
      <c r="J111" s="1577"/>
      <c r="K111" s="1594">
        <f>ROUND(SUM(C111)+SUM(E111)-SUM(G111)+SUM(I111),3)</f>
        <v>0</v>
      </c>
      <c r="L111" s="1594"/>
      <c r="M111" s="1602"/>
      <c r="N111" s="1602"/>
    </row>
    <row r="112" spans="1:15" s="1603" customFormat="1">
      <c r="A112" s="1583" t="s">
        <v>334</v>
      </c>
      <c r="B112" s="1591"/>
      <c r="C112" s="1577">
        <v>-579.25</v>
      </c>
      <c r="D112"/>
      <c r="E112" s="2511">
        <v>158.87</v>
      </c>
      <c r="F112" s="2502"/>
      <c r="G112" s="2511">
        <v>163.85300000000001</v>
      </c>
      <c r="H112" s="2502"/>
      <c r="I112" s="2511">
        <v>-77.903000000000006</v>
      </c>
      <c r="J112" s="1583"/>
      <c r="K112" s="1594">
        <f t="shared" ref="K112:K126" si="6">ROUND(SUM(C112)+SUM(E112)-SUM(G112)+SUM(I112),3)</f>
        <v>-662.13599999999997</v>
      </c>
      <c r="L112" s="1212"/>
      <c r="M112" s="1602"/>
      <c r="N112" s="1602"/>
    </row>
    <row r="113" spans="1:14" s="1603" customFormat="1">
      <c r="A113" s="1583" t="s">
        <v>335</v>
      </c>
      <c r="B113" s="1583"/>
      <c r="C113" s="1577">
        <v>112.21599999999999</v>
      </c>
      <c r="D113"/>
      <c r="E113" s="2511">
        <v>3.0419999999999998</v>
      </c>
      <c r="F113" s="2502"/>
      <c r="G113" s="2511">
        <v>2.9980000000000002</v>
      </c>
      <c r="H113" s="2502"/>
      <c r="I113" s="2512">
        <v>5.1619999999999999</v>
      </c>
      <c r="J113" s="1583"/>
      <c r="K113" s="1594">
        <f t="shared" si="6"/>
        <v>117.422</v>
      </c>
      <c r="L113" s="1212"/>
      <c r="M113" s="1602"/>
      <c r="N113" s="1602"/>
    </row>
    <row r="114" spans="1:14" s="1603" customFormat="1">
      <c r="A114" s="1583" t="s">
        <v>336</v>
      </c>
      <c r="B114" s="1583"/>
      <c r="C114" s="3092">
        <v>3.5030000000000001</v>
      </c>
      <c r="D114"/>
      <c r="E114" s="2512">
        <v>0.36499999999999999</v>
      </c>
      <c r="F114" s="2502"/>
      <c r="G114" s="2512">
        <v>0</v>
      </c>
      <c r="H114" s="2502"/>
      <c r="I114" s="2512">
        <v>0</v>
      </c>
      <c r="J114" s="1583"/>
      <c r="K114" s="1594">
        <f t="shared" si="6"/>
        <v>3.8679999999999999</v>
      </c>
      <c r="L114" s="1212"/>
      <c r="M114" s="1602"/>
      <c r="N114" s="1602"/>
    </row>
    <row r="115" spans="1:14" s="1603" customFormat="1">
      <c r="A115" s="1583" t="s">
        <v>337</v>
      </c>
      <c r="B115" s="1583"/>
      <c r="C115" s="1577">
        <v>-95.265000000000001</v>
      </c>
      <c r="D115"/>
      <c r="E115" s="2511">
        <v>0.222</v>
      </c>
      <c r="F115" s="2502"/>
      <c r="G115" s="2511">
        <v>6.4450000000000003</v>
      </c>
      <c r="H115" s="2502"/>
      <c r="I115" s="2512">
        <v>0</v>
      </c>
      <c r="J115" s="1583"/>
      <c r="K115" s="1594">
        <f t="shared" si="6"/>
        <v>-101.488</v>
      </c>
      <c r="L115" s="1212"/>
      <c r="M115" s="1602"/>
      <c r="N115" s="1602"/>
    </row>
    <row r="116" spans="1:14" s="1603" customFormat="1">
      <c r="A116" s="1583" t="s">
        <v>338</v>
      </c>
      <c r="B116" s="1583"/>
      <c r="C116" s="3092">
        <v>1.4E-2</v>
      </c>
      <c r="D116"/>
      <c r="E116" s="2512">
        <v>0</v>
      </c>
      <c r="F116" s="2502"/>
      <c r="G116" s="2512">
        <v>0</v>
      </c>
      <c r="H116" s="2502"/>
      <c r="I116" s="2512">
        <v>0</v>
      </c>
      <c r="J116" s="1583"/>
      <c r="K116" s="1594">
        <f t="shared" si="6"/>
        <v>1.4E-2</v>
      </c>
      <c r="L116" s="1212"/>
      <c r="M116" s="1602"/>
      <c r="N116" s="1602"/>
    </row>
    <row r="117" spans="1:14" s="1603" customFormat="1">
      <c r="A117" s="1583" t="s">
        <v>339</v>
      </c>
      <c r="B117" s="1583"/>
      <c r="C117" s="1577">
        <v>56.273000000000003</v>
      </c>
      <c r="D117"/>
      <c r="E117" s="2511">
        <v>13.624000000000001</v>
      </c>
      <c r="F117" s="2502"/>
      <c r="G117" s="2511">
        <v>6.2930000000000001</v>
      </c>
      <c r="H117" s="2502"/>
      <c r="I117" s="2512">
        <v>0</v>
      </c>
      <c r="J117" s="1583"/>
      <c r="K117" s="1594">
        <f t="shared" si="6"/>
        <v>63.603999999999999</v>
      </c>
      <c r="L117" s="1212"/>
      <c r="M117" s="1602"/>
      <c r="N117" s="1602"/>
    </row>
    <row r="118" spans="1:14" s="1603" customFormat="1">
      <c r="A118" s="1583" t="s">
        <v>340</v>
      </c>
      <c r="B118" s="1583"/>
      <c r="C118" s="3092">
        <v>0</v>
      </c>
      <c r="D118"/>
      <c r="E118" s="2512">
        <v>0</v>
      </c>
      <c r="F118" s="2502"/>
      <c r="G118" s="2512">
        <v>0</v>
      </c>
      <c r="H118" s="2502"/>
      <c r="I118" s="2512">
        <v>0</v>
      </c>
      <c r="J118" s="1583"/>
      <c r="K118" s="1594">
        <f t="shared" si="6"/>
        <v>0</v>
      </c>
      <c r="L118" s="1212"/>
      <c r="M118" s="1602"/>
      <c r="N118" s="1602"/>
    </row>
    <row r="119" spans="1:14" s="1603" customFormat="1">
      <c r="A119" s="1583" t="s">
        <v>341</v>
      </c>
      <c r="B119" s="1583"/>
      <c r="C119" s="3092">
        <v>0.16400000000000001</v>
      </c>
      <c r="D119"/>
      <c r="E119" s="2512">
        <v>0</v>
      </c>
      <c r="F119" s="2502"/>
      <c r="G119" s="2512">
        <v>0</v>
      </c>
      <c r="H119" s="2502"/>
      <c r="I119" s="2512">
        <v>0</v>
      </c>
      <c r="J119" s="1583"/>
      <c r="K119" s="1594">
        <f t="shared" si="6"/>
        <v>0.16400000000000001</v>
      </c>
      <c r="L119" s="1212"/>
      <c r="M119" s="1602"/>
      <c r="N119" s="1602"/>
    </row>
    <row r="120" spans="1:14" s="1603" customFormat="1">
      <c r="A120" s="1583" t="s">
        <v>1305</v>
      </c>
      <c r="B120" s="1583"/>
      <c r="C120" s="3092">
        <v>0</v>
      </c>
      <c r="D120"/>
      <c r="E120" s="2512">
        <v>0</v>
      </c>
      <c r="F120" s="2502"/>
      <c r="G120" s="2512">
        <v>0</v>
      </c>
      <c r="H120" s="2502"/>
      <c r="I120" s="2512">
        <v>0</v>
      </c>
      <c r="J120" s="1583"/>
      <c r="K120" s="1594">
        <f t="shared" si="6"/>
        <v>0</v>
      </c>
      <c r="L120" s="1212"/>
      <c r="M120" s="1602"/>
      <c r="N120" s="1602"/>
    </row>
    <row r="121" spans="1:14" s="1603" customFormat="1">
      <c r="A121" s="1583" t="s">
        <v>342</v>
      </c>
      <c r="B121" s="1583"/>
      <c r="C121" s="1577">
        <v>0.66800000000000004</v>
      </c>
      <c r="D121"/>
      <c r="E121" s="2512">
        <v>0</v>
      </c>
      <c r="F121" s="2502"/>
      <c r="G121" s="2512">
        <v>0</v>
      </c>
      <c r="H121" s="2502"/>
      <c r="I121" s="2512">
        <v>0</v>
      </c>
      <c r="J121" s="1583"/>
      <c r="K121" s="1594">
        <f t="shared" si="6"/>
        <v>0.66800000000000004</v>
      </c>
      <c r="L121" s="1212"/>
      <c r="M121" s="1602"/>
      <c r="N121" s="1602"/>
    </row>
    <row r="122" spans="1:14" s="1603" customFormat="1">
      <c r="A122" s="1583" t="s">
        <v>343</v>
      </c>
      <c r="B122" s="1583"/>
      <c r="C122" s="3092">
        <v>3.3610000000000002</v>
      </c>
      <c r="D122"/>
      <c r="E122" s="2512">
        <v>0</v>
      </c>
      <c r="F122" s="2502"/>
      <c r="G122" s="2512">
        <v>0</v>
      </c>
      <c r="H122" s="2502"/>
      <c r="I122" s="2512">
        <v>-3.3000000000000002E-2</v>
      </c>
      <c r="J122" s="1583"/>
      <c r="K122" s="1594">
        <f t="shared" si="6"/>
        <v>3.3279999999999998</v>
      </c>
      <c r="L122" s="1212"/>
      <c r="M122" s="1602"/>
      <c r="N122" s="1602"/>
    </row>
    <row r="123" spans="1:14" s="1603" customFormat="1">
      <c r="A123" s="1583" t="s">
        <v>344</v>
      </c>
      <c r="B123" s="1583"/>
      <c r="C123" s="3092">
        <v>1.8160000000000001</v>
      </c>
      <c r="D123"/>
      <c r="E123" s="2512">
        <v>0</v>
      </c>
      <c r="F123" s="2502"/>
      <c r="G123" s="2512">
        <v>0</v>
      </c>
      <c r="H123" s="2502"/>
      <c r="I123" s="2512">
        <v>0</v>
      </c>
      <c r="J123" s="1583"/>
      <c r="K123" s="1594">
        <f t="shared" si="6"/>
        <v>1.8160000000000001</v>
      </c>
      <c r="L123" s="1212"/>
      <c r="M123" s="1602"/>
      <c r="N123" s="1602"/>
    </row>
    <row r="124" spans="1:14" s="1603" customFormat="1">
      <c r="A124" s="1583" t="s">
        <v>345</v>
      </c>
      <c r="B124" s="1583"/>
      <c r="C124" s="1577">
        <v>26.815000000000001</v>
      </c>
      <c r="D124"/>
      <c r="E124" s="2512">
        <v>0</v>
      </c>
      <c r="F124" s="2502"/>
      <c r="G124" s="2512">
        <v>0</v>
      </c>
      <c r="H124" s="2502"/>
      <c r="I124" s="2511">
        <v>-5.9640000000000004</v>
      </c>
      <c r="J124" s="1583"/>
      <c r="K124" s="1594">
        <f t="shared" si="6"/>
        <v>20.850999999999999</v>
      </c>
      <c r="L124" s="1212"/>
      <c r="M124" s="1602"/>
      <c r="N124" s="1602"/>
    </row>
    <row r="125" spans="1:14" s="1603" customFormat="1">
      <c r="A125" s="1583" t="s">
        <v>346</v>
      </c>
      <c r="B125" s="1583"/>
      <c r="C125" s="3092">
        <v>4.2549999999999999</v>
      </c>
      <c r="D125"/>
      <c r="E125" s="2512">
        <v>0</v>
      </c>
      <c r="F125" s="2502"/>
      <c r="G125" s="2512">
        <v>0</v>
      </c>
      <c r="H125" s="2502"/>
      <c r="I125" s="2512">
        <v>0</v>
      </c>
      <c r="J125" s="1583"/>
      <c r="K125" s="1594">
        <f t="shared" si="6"/>
        <v>4.2549999999999999</v>
      </c>
      <c r="L125" s="1212"/>
      <c r="M125" s="1602"/>
      <c r="N125" s="1602"/>
    </row>
    <row r="126" spans="1:14" s="1603" customFormat="1">
      <c r="A126" s="1583" t="s">
        <v>347</v>
      </c>
      <c r="B126" s="1583"/>
      <c r="C126" s="3092">
        <v>12.125</v>
      </c>
      <c r="D126"/>
      <c r="E126" s="2512">
        <v>0</v>
      </c>
      <c r="F126" s="2502"/>
      <c r="G126" s="2512">
        <v>0</v>
      </c>
      <c r="H126" s="2502"/>
      <c r="I126" s="2512">
        <v>0</v>
      </c>
      <c r="J126" s="1583"/>
      <c r="K126" s="1594">
        <f t="shared" si="6"/>
        <v>12.125</v>
      </c>
      <c r="L126" s="1212"/>
      <c r="M126" s="1602"/>
      <c r="N126" s="1602"/>
    </row>
    <row r="127" spans="1:14" s="1603" customFormat="1">
      <c r="A127" s="1583" t="s">
        <v>348</v>
      </c>
      <c r="B127" s="1583"/>
      <c r="C127" s="3092"/>
      <c r="D127"/>
      <c r="E127" s="2512"/>
      <c r="F127" s="2502"/>
      <c r="G127" s="2512"/>
      <c r="H127" s="2502"/>
      <c r="I127" s="2512"/>
      <c r="J127" s="1583"/>
      <c r="K127" s="1212"/>
      <c r="L127" s="1212"/>
      <c r="M127" s="1602"/>
      <c r="N127" s="1602"/>
    </row>
    <row r="128" spans="1:14" s="1603" customFormat="1">
      <c r="A128" s="1583" t="s">
        <v>349</v>
      </c>
      <c r="B128" s="1583"/>
      <c r="C128" s="3092">
        <v>2.8140000000000001</v>
      </c>
      <c r="D128"/>
      <c r="E128" s="2512">
        <v>0</v>
      </c>
      <c r="F128" s="2502"/>
      <c r="G128" s="2512">
        <v>0</v>
      </c>
      <c r="H128" s="2502"/>
      <c r="I128" s="2512">
        <v>0</v>
      </c>
      <c r="J128" s="1583"/>
      <c r="K128" s="1212">
        <f>ROUND(SUM(C128)+SUM(E128)-SUM(G128)+SUM(I128),3)</f>
        <v>2.8140000000000001</v>
      </c>
      <c r="L128" s="1212"/>
      <c r="M128" s="1602"/>
      <c r="N128" s="1602"/>
    </row>
    <row r="129" spans="1:14" s="1603" customFormat="1">
      <c r="A129" s="1583" t="s">
        <v>350</v>
      </c>
      <c r="B129" s="1583"/>
      <c r="C129" s="3092">
        <v>2.7250000000000001</v>
      </c>
      <c r="D129"/>
      <c r="E129" s="2512">
        <v>0</v>
      </c>
      <c r="F129" s="2502"/>
      <c r="G129" s="2512">
        <v>0</v>
      </c>
      <c r="H129" s="2502"/>
      <c r="I129" s="2512">
        <v>0</v>
      </c>
      <c r="J129" s="1583"/>
      <c r="K129" s="1212">
        <f t="shared" ref="K129:K147" si="7">ROUND(SUM(C129)+SUM(E129)-SUM(G129)+SUM(I129),3)</f>
        <v>2.7250000000000001</v>
      </c>
      <c r="L129" s="1212"/>
      <c r="M129" s="1602"/>
      <c r="N129" s="1602"/>
    </row>
    <row r="130" spans="1:14" s="1603" customFormat="1">
      <c r="A130" s="1583" t="s">
        <v>351</v>
      </c>
      <c r="B130" s="1583"/>
      <c r="C130" s="3092">
        <v>0</v>
      </c>
      <c r="D130"/>
      <c r="E130" s="2512">
        <v>0</v>
      </c>
      <c r="F130" s="2502"/>
      <c r="G130" s="2512">
        <v>0</v>
      </c>
      <c r="H130" s="2502"/>
      <c r="I130" s="2512">
        <v>0</v>
      </c>
      <c r="J130" s="1583"/>
      <c r="K130" s="1212">
        <f t="shared" si="7"/>
        <v>0</v>
      </c>
      <c r="L130" s="1212"/>
      <c r="M130" s="1602"/>
      <c r="N130" s="1602"/>
    </row>
    <row r="131" spans="1:14" s="1603" customFormat="1">
      <c r="A131" s="1583" t="s">
        <v>352</v>
      </c>
      <c r="B131" s="1583"/>
      <c r="C131" s="3092">
        <v>0</v>
      </c>
      <c r="D131"/>
      <c r="E131" s="2512">
        <v>0</v>
      </c>
      <c r="F131" s="2502"/>
      <c r="G131" s="2512">
        <v>0</v>
      </c>
      <c r="H131" s="2502"/>
      <c r="I131" s="2512">
        <v>0</v>
      </c>
      <c r="J131" s="1583"/>
      <c r="K131" s="1212">
        <f t="shared" si="7"/>
        <v>0</v>
      </c>
      <c r="L131" s="1212"/>
      <c r="M131" s="1602"/>
      <c r="N131" s="1602"/>
    </row>
    <row r="132" spans="1:14" s="1603" customFormat="1">
      <c r="A132" s="1583" t="s">
        <v>353</v>
      </c>
      <c r="B132" s="1583"/>
      <c r="C132" s="3092">
        <v>0</v>
      </c>
      <c r="D132"/>
      <c r="E132" s="2512">
        <v>0</v>
      </c>
      <c r="F132" s="2502"/>
      <c r="G132" s="2512">
        <v>0</v>
      </c>
      <c r="H132" s="2502"/>
      <c r="I132" s="2512">
        <v>0</v>
      </c>
      <c r="J132" s="1583"/>
      <c r="K132" s="1212">
        <f t="shared" si="7"/>
        <v>0</v>
      </c>
      <c r="L132" s="1212"/>
      <c r="M132" s="1602"/>
      <c r="N132" s="1602"/>
    </row>
    <row r="133" spans="1:14" s="1603" customFormat="1">
      <c r="A133" s="1583" t="s">
        <v>354</v>
      </c>
      <c r="B133" s="1583"/>
      <c r="C133" s="1577">
        <v>-240.65899999999999</v>
      </c>
      <c r="D133"/>
      <c r="E133" s="2511">
        <v>172.161</v>
      </c>
      <c r="F133" s="2502"/>
      <c r="G133" s="2511">
        <v>169</v>
      </c>
      <c r="H133" s="2502"/>
      <c r="I133" s="2512">
        <v>-2.3010000000000002</v>
      </c>
      <c r="J133" s="1583"/>
      <c r="K133" s="1212">
        <f t="shared" si="7"/>
        <v>-239.79900000000001</v>
      </c>
      <c r="L133" s="1212"/>
      <c r="M133" s="1602"/>
      <c r="N133" s="1602"/>
    </row>
    <row r="134" spans="1:14" s="1603" customFormat="1">
      <c r="A134" s="1583" t="s">
        <v>355</v>
      </c>
      <c r="B134" s="1583"/>
      <c r="C134" s="3092">
        <v>0.89700000000000002</v>
      </c>
      <c r="D134"/>
      <c r="E134" s="2512">
        <v>0</v>
      </c>
      <c r="F134" s="2502"/>
      <c r="G134" s="2512">
        <v>0</v>
      </c>
      <c r="H134" s="2502"/>
      <c r="I134" s="2512">
        <v>0</v>
      </c>
      <c r="J134" s="1583"/>
      <c r="K134" s="1212">
        <f t="shared" si="7"/>
        <v>0.89700000000000002</v>
      </c>
      <c r="L134" s="1212"/>
      <c r="M134" s="1602"/>
      <c r="N134" s="1602"/>
    </row>
    <row r="135" spans="1:14" s="1603" customFormat="1">
      <c r="A135" s="1591" t="s">
        <v>356</v>
      </c>
      <c r="B135" s="1583"/>
      <c r="C135" s="1577">
        <v>-92.783000000000001</v>
      </c>
      <c r="D135"/>
      <c r="E135" s="2511">
        <v>16.459</v>
      </c>
      <c r="F135" s="2502"/>
      <c r="G135" s="2511">
        <v>12.999000000000001</v>
      </c>
      <c r="H135" s="2502"/>
      <c r="I135" s="2511">
        <v>-0.86</v>
      </c>
      <c r="J135" s="1583"/>
      <c r="K135" s="1212">
        <f t="shared" si="7"/>
        <v>-90.183000000000007</v>
      </c>
      <c r="L135" s="1212"/>
      <c r="M135" s="1602"/>
      <c r="N135" s="1602"/>
    </row>
    <row r="136" spans="1:14" s="1603" customFormat="1">
      <c r="A136" s="1583" t="s">
        <v>357</v>
      </c>
      <c r="B136" s="1583"/>
      <c r="C136" s="3092">
        <v>0.50600000000000001</v>
      </c>
      <c r="D136"/>
      <c r="E136" s="2512">
        <v>0</v>
      </c>
      <c r="F136" s="2502"/>
      <c r="G136" s="2512">
        <v>0</v>
      </c>
      <c r="H136" s="2502"/>
      <c r="I136" s="2512">
        <v>0</v>
      </c>
      <c r="J136" s="1583"/>
      <c r="K136" s="1212">
        <f t="shared" si="7"/>
        <v>0.50600000000000001</v>
      </c>
      <c r="L136" s="1212"/>
      <c r="M136" s="1602"/>
      <c r="N136" s="1602"/>
    </row>
    <row r="137" spans="1:14" s="1603" customFormat="1">
      <c r="A137" s="1583" t="s">
        <v>358</v>
      </c>
      <c r="B137" s="1583"/>
      <c r="C137" s="1577">
        <v>-4.03</v>
      </c>
      <c r="D137"/>
      <c r="E137" s="2512">
        <v>0</v>
      </c>
      <c r="F137" s="2502"/>
      <c r="G137" s="2511">
        <v>2.044</v>
      </c>
      <c r="H137" s="2502"/>
      <c r="I137" s="2512">
        <v>0</v>
      </c>
      <c r="J137" s="1583"/>
      <c r="K137" s="1212">
        <f t="shared" si="7"/>
        <v>-6.0739999999999998</v>
      </c>
      <c r="L137" s="1212"/>
      <c r="M137" s="1602"/>
      <c r="N137" s="1602"/>
    </row>
    <row r="138" spans="1:14" s="1603" customFormat="1">
      <c r="A138" s="1583" t="s">
        <v>359</v>
      </c>
      <c r="B138" s="1583"/>
      <c r="C138" s="3092">
        <v>-13.15</v>
      </c>
      <c r="D138"/>
      <c r="E138" s="2512">
        <v>0</v>
      </c>
      <c r="F138" s="2502"/>
      <c r="G138" s="2512">
        <v>0</v>
      </c>
      <c r="H138" s="2502"/>
      <c r="I138" s="2512">
        <v>0</v>
      </c>
      <c r="J138" s="1583"/>
      <c r="K138" s="1212">
        <f t="shared" si="7"/>
        <v>-13.15</v>
      </c>
      <c r="L138" s="1212"/>
      <c r="M138" s="1602"/>
      <c r="N138" s="1602"/>
    </row>
    <row r="139" spans="1:14" s="1603" customFormat="1">
      <c r="A139" s="1583" t="s">
        <v>360</v>
      </c>
      <c r="B139" s="1583"/>
      <c r="C139" s="1577">
        <v>-120.04900000000001</v>
      </c>
      <c r="D139"/>
      <c r="E139" s="2512">
        <v>0</v>
      </c>
      <c r="F139" s="2502"/>
      <c r="G139" s="2512">
        <v>7.5410000000000004</v>
      </c>
      <c r="H139" s="2502"/>
      <c r="I139" s="2512">
        <v>0</v>
      </c>
      <c r="J139" s="1583"/>
      <c r="K139" s="1212">
        <f t="shared" si="7"/>
        <v>-127.59</v>
      </c>
      <c r="L139" s="1212"/>
      <c r="M139" s="1602"/>
      <c r="N139" s="1602"/>
    </row>
    <row r="140" spans="1:14" s="1603" customFormat="1">
      <c r="A140" s="1583" t="s">
        <v>361</v>
      </c>
      <c r="B140" s="1583"/>
      <c r="C140" s="1594">
        <v>15.302</v>
      </c>
      <c r="D140"/>
      <c r="E140" s="2512">
        <v>1E-3</v>
      </c>
      <c r="F140" s="2502"/>
      <c r="G140" s="2511">
        <v>0.10299999999999999</v>
      </c>
      <c r="H140" s="2502"/>
      <c r="I140" s="2512">
        <v>0</v>
      </c>
      <c r="J140" s="1583"/>
      <c r="K140" s="1212">
        <f t="shared" si="7"/>
        <v>15.2</v>
      </c>
      <c r="L140" s="1212"/>
      <c r="M140" s="1602"/>
      <c r="N140" s="1602"/>
    </row>
    <row r="141" spans="1:14" s="1603" customFormat="1">
      <c r="A141" s="1583" t="s">
        <v>1314</v>
      </c>
      <c r="B141" s="1583"/>
      <c r="C141" s="1577">
        <v>-12.497999999999999</v>
      </c>
      <c r="D141"/>
      <c r="E141" s="2512">
        <v>0</v>
      </c>
      <c r="F141" s="2502"/>
      <c r="G141" s="2511">
        <v>3.0000000000000001E-3</v>
      </c>
      <c r="H141" s="2502"/>
      <c r="I141" s="2512">
        <v>0</v>
      </c>
      <c r="J141" s="1583"/>
      <c r="K141" s="1212">
        <f t="shared" si="7"/>
        <v>-12.500999999999999</v>
      </c>
      <c r="L141" s="1212"/>
      <c r="M141" s="1602"/>
      <c r="N141" s="1602"/>
    </row>
    <row r="142" spans="1:14" s="1603" customFormat="1">
      <c r="A142" s="1583" t="s">
        <v>362</v>
      </c>
      <c r="B142" s="1583"/>
      <c r="C142" s="1577">
        <v>37.552999999999997</v>
      </c>
      <c r="D142"/>
      <c r="E142" s="2511">
        <v>0.161</v>
      </c>
      <c r="F142" s="2502"/>
      <c r="G142" s="2511">
        <v>1.173</v>
      </c>
      <c r="H142" s="2502"/>
      <c r="I142" s="2512">
        <v>0</v>
      </c>
      <c r="J142" s="1583"/>
      <c r="K142" s="1212">
        <f t="shared" si="7"/>
        <v>36.540999999999997</v>
      </c>
      <c r="L142" s="1212"/>
      <c r="M142" s="1602"/>
      <c r="N142" s="1602"/>
    </row>
    <row r="143" spans="1:14" s="1603" customFormat="1">
      <c r="A143" s="1583" t="s">
        <v>363</v>
      </c>
      <c r="B143" s="1583"/>
      <c r="C143" s="3092">
        <v>-2.3E-2</v>
      </c>
      <c r="D143"/>
      <c r="E143" s="2512">
        <v>0</v>
      </c>
      <c r="F143" s="2502"/>
      <c r="G143" s="2512">
        <v>0</v>
      </c>
      <c r="H143" s="2502"/>
      <c r="I143" s="2512">
        <v>0</v>
      </c>
      <c r="J143" s="1583"/>
      <c r="K143" s="1212">
        <f t="shared" si="7"/>
        <v>-2.3E-2</v>
      </c>
      <c r="L143" s="1212"/>
      <c r="M143" s="1602"/>
      <c r="N143" s="1602"/>
    </row>
    <row r="144" spans="1:14" s="1603" customFormat="1">
      <c r="A144" s="1583" t="s">
        <v>364</v>
      </c>
      <c r="B144" s="1583"/>
      <c r="C144" s="1577">
        <v>-424.08100000000002</v>
      </c>
      <c r="D144"/>
      <c r="E144" s="2511">
        <v>20.081</v>
      </c>
      <c r="F144" s="2502"/>
      <c r="G144" s="2511">
        <v>15.787000000000001</v>
      </c>
      <c r="H144" s="2502"/>
      <c r="I144" s="2512">
        <v>0</v>
      </c>
      <c r="J144" s="1583"/>
      <c r="K144" s="1212">
        <f t="shared" si="7"/>
        <v>-419.78699999999998</v>
      </c>
      <c r="L144" s="1212"/>
      <c r="M144" s="1602"/>
      <c r="N144" s="1602"/>
    </row>
    <row r="145" spans="1:15" s="1603" customFormat="1">
      <c r="A145" s="1583" t="s">
        <v>365</v>
      </c>
      <c r="B145" s="1583"/>
      <c r="C145" s="1576">
        <v>-91.968000000000004</v>
      </c>
      <c r="D145"/>
      <c r="E145" s="2512">
        <v>0</v>
      </c>
      <c r="F145" s="2502"/>
      <c r="G145" s="2511">
        <v>19.044</v>
      </c>
      <c r="H145" s="2502"/>
      <c r="I145" s="2512">
        <v>0</v>
      </c>
      <c r="J145" s="1583"/>
      <c r="K145" s="1212">
        <f t="shared" si="7"/>
        <v>-111.012</v>
      </c>
      <c r="L145" s="1212"/>
      <c r="M145" s="1602"/>
      <c r="N145" s="1602"/>
    </row>
    <row r="146" spans="1:15" s="1603" customFormat="1">
      <c r="A146" s="1583" t="s">
        <v>366</v>
      </c>
      <c r="B146" s="1583"/>
      <c r="C146" s="1577">
        <v>278.72800000000001</v>
      </c>
      <c r="D146"/>
      <c r="E146" s="2511">
        <v>0.17</v>
      </c>
      <c r="F146" s="2502"/>
      <c r="G146" s="2511">
        <v>4.2809999999999997</v>
      </c>
      <c r="H146" s="2502"/>
      <c r="I146" s="2512">
        <v>-2.4740000000000002</v>
      </c>
      <c r="J146" s="1583"/>
      <c r="K146" s="1212">
        <f t="shared" si="7"/>
        <v>272.14299999999997</v>
      </c>
      <c r="L146" s="1212"/>
      <c r="M146" s="1602"/>
      <c r="N146" s="1602"/>
    </row>
    <row r="147" spans="1:15" s="1603" customFormat="1">
      <c r="A147" s="1583" t="s">
        <v>367</v>
      </c>
      <c r="B147" s="1583"/>
      <c r="C147" s="3092">
        <v>-10.000999999999999</v>
      </c>
      <c r="D147"/>
      <c r="E147" s="2512">
        <v>0</v>
      </c>
      <c r="F147" s="2502"/>
      <c r="G147" s="2512">
        <v>0</v>
      </c>
      <c r="H147" s="2502"/>
      <c r="I147" s="2512">
        <v>0</v>
      </c>
      <c r="J147" s="1583"/>
      <c r="K147" s="1212">
        <f t="shared" si="7"/>
        <v>-10.000999999999999</v>
      </c>
      <c r="L147" s="1212"/>
      <c r="M147" s="1602"/>
      <c r="N147" s="1602"/>
    </row>
    <row r="148" spans="1:15">
      <c r="A148" s="833" t="s">
        <v>368</v>
      </c>
      <c r="B148" s="1583"/>
      <c r="C148" s="841">
        <f>ROUND(SUM(C111:C147),3)</f>
        <v>-1124.0219999999999</v>
      </c>
      <c r="D148" s="833"/>
      <c r="E148" s="841">
        <f>ROUND(SUM(E111:E147),3)</f>
        <v>385.15600000000001</v>
      </c>
      <c r="F148" s="833"/>
      <c r="G148" s="841">
        <f>ROUND(SUM(G111:G147),3)</f>
        <v>589.63400000000001</v>
      </c>
      <c r="H148" s="833"/>
      <c r="I148" s="841">
        <f>ROUND(SUM(I111:I147),3)</f>
        <v>93.697000000000003</v>
      </c>
      <c r="J148" s="833"/>
      <c r="K148" s="841">
        <f>ROUND(SUM(K112:K147),3)</f>
        <v>-1234.8030000000001</v>
      </c>
      <c r="L148" s="842"/>
      <c r="M148" s="838"/>
      <c r="N148" s="838"/>
      <c r="O148" s="834"/>
    </row>
    <row r="149" spans="1:15">
      <c r="A149" s="833"/>
      <c r="B149" s="1583"/>
      <c r="C149" s="1592"/>
      <c r="D149" s="1583"/>
      <c r="E149" s="1604"/>
      <c r="F149" s="1605"/>
      <c r="G149" s="1604"/>
      <c r="H149" s="1605"/>
      <c r="I149" s="1604"/>
      <c r="J149" s="1583"/>
      <c r="K149" s="1592"/>
      <c r="L149" s="1592"/>
    </row>
    <row r="150" spans="1:15" ht="16.5" thickBot="1">
      <c r="A150" s="833" t="s">
        <v>369</v>
      </c>
      <c r="B150" s="843"/>
      <c r="C150" s="844">
        <f>ROUND(SUM(C23+C97+C107+C148),3)</f>
        <v>9214.6370000000006</v>
      </c>
      <c r="D150" s="843"/>
      <c r="E150" s="844">
        <f>ROUND(SUM(E23+E97+E107+E148),3)</f>
        <v>10086.254000000001</v>
      </c>
      <c r="F150" s="845"/>
      <c r="G150" s="844">
        <f>ROUND(SUM(G23+G97+G107+G148),3)</f>
        <v>10164.513999999999</v>
      </c>
      <c r="H150" s="845"/>
      <c r="I150" s="844">
        <f>ROUND(SUM(I23+I97+I107+I148),3)</f>
        <v>-11.05</v>
      </c>
      <c r="J150" s="843"/>
      <c r="K150" s="844">
        <f>ROUND(SUM(K23+K97+K107+K148),3)</f>
        <v>9125.3269999999993</v>
      </c>
      <c r="L150" s="846"/>
    </row>
    <row r="151" spans="1:15" ht="16.5" thickTop="1">
      <c r="A151" s="1583"/>
      <c r="B151" s="1583"/>
      <c r="C151" s="1592" t="s">
        <v>16</v>
      </c>
      <c r="D151" s="1583"/>
      <c r="E151" s="1592"/>
      <c r="F151" s="1583"/>
      <c r="G151" s="1592"/>
      <c r="H151" s="1583"/>
      <c r="I151" s="1592"/>
      <c r="J151" s="1583"/>
      <c r="K151" s="1592" t="s">
        <v>16</v>
      </c>
      <c r="L151" s="1592"/>
    </row>
    <row r="152" spans="1:15">
      <c r="A152" s="1583"/>
      <c r="B152" s="1583"/>
      <c r="C152" s="1583"/>
      <c r="D152" s="1583"/>
      <c r="E152" s="1583"/>
      <c r="F152" s="1583"/>
      <c r="G152" s="1583"/>
      <c r="H152" s="1583"/>
      <c r="I152" s="1583"/>
      <c r="J152" s="1583"/>
      <c r="K152" s="1583"/>
      <c r="L152" s="1583"/>
    </row>
    <row r="153" spans="1:15">
      <c r="A153" s="832"/>
      <c r="B153" s="1583"/>
      <c r="C153" s="1583"/>
      <c r="D153" s="1583"/>
      <c r="E153" s="1583"/>
      <c r="F153" s="1583"/>
      <c r="G153" s="1583"/>
      <c r="H153" s="1583"/>
      <c r="I153" s="1605"/>
      <c r="J153" s="1583"/>
      <c r="K153" s="1583" t="s">
        <v>16</v>
      </c>
      <c r="L153" s="1583"/>
    </row>
    <row r="154" spans="1:15">
      <c r="A154" s="1583" t="s">
        <v>16</v>
      </c>
      <c r="B154" s="1583"/>
      <c r="C154" s="1583"/>
      <c r="D154" s="1583"/>
      <c r="E154" s="1583"/>
      <c r="F154" s="1583"/>
      <c r="G154" s="1583"/>
      <c r="H154" s="1583"/>
      <c r="I154" s="1583"/>
      <c r="J154" s="1583"/>
      <c r="K154" s="1583"/>
      <c r="L154" s="1583"/>
    </row>
    <row r="155" spans="1:15">
      <c r="A155" s="1583"/>
      <c r="B155" s="1583"/>
      <c r="C155" s="1583"/>
      <c r="D155" s="1583"/>
      <c r="E155" s="1583"/>
      <c r="F155" s="1583"/>
      <c r="G155" s="1583"/>
      <c r="H155" s="1583"/>
      <c r="I155" s="1583"/>
      <c r="J155" s="1583"/>
      <c r="K155" s="1583"/>
      <c r="L155" s="1583"/>
    </row>
    <row r="156" spans="1:15">
      <c r="A156" s="1606"/>
      <c r="B156" s="1583"/>
      <c r="C156" s="1583"/>
      <c r="D156" s="1583"/>
      <c r="E156" s="1583"/>
      <c r="F156" s="1583"/>
      <c r="G156" s="1583"/>
      <c r="H156" s="1583"/>
      <c r="I156" s="1607"/>
      <c r="J156" s="1583"/>
      <c r="K156" s="1583" t="s">
        <v>16</v>
      </c>
      <c r="L156" s="1583"/>
    </row>
    <row r="157" spans="1:15">
      <c r="I157" s="1334"/>
    </row>
    <row r="158" spans="1:15">
      <c r="I158" s="1334"/>
    </row>
    <row r="159" spans="1:15">
      <c r="I159" s="1334"/>
    </row>
    <row r="160" spans="1:15">
      <c r="I160" s="1334"/>
    </row>
    <row r="161" spans="9:9">
      <c r="I161" s="846"/>
    </row>
    <row r="162" spans="9:9">
      <c r="I162" s="1334"/>
    </row>
    <row r="163" spans="9:9">
      <c r="I163" s="1334"/>
    </row>
    <row r="164" spans="9:9">
      <c r="I164" s="1334"/>
    </row>
    <row r="165" spans="9:9">
      <c r="I165" s="1334"/>
    </row>
  </sheetData>
  <customSheetViews>
    <customSheetView guid="{BD09DBC2-63A5-4D9C-9B00-4281066E9389}" scale="80" showGridLines="0" printArea="1" topLeftCell="A131">
      <selection activeCell="K150" sqref="K150"/>
      <rowBreaks count="1" manualBreakCount="1">
        <brk id="108" max="11" man="1"/>
      </rowBreaks>
      <pageMargins left="0.5" right="0.25" top="0.32" bottom="0" header="0.27" footer="0.1"/>
      <pageSetup scale="63" firstPageNumber="38" fitToHeight="3" orientation="landscape" useFirstPageNumber="1" r:id="rId1"/>
      <headerFooter alignWithMargins="0">
        <oddFooter>&amp;C&amp;P</oddFooter>
        <firstFooter>&amp;C28</firstFooter>
      </headerFooter>
    </customSheetView>
    <customSheetView guid="{C82E0A7D-2B5B-48FC-A705-3168E651E04C}" scale="80" showGridLines="0" printArea="1" topLeftCell="A85">
      <selection activeCell="I105" sqref="I105"/>
      <rowBreaks count="1" manualBreakCount="1">
        <brk id="108" max="11" man="1"/>
      </rowBreak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customSheetView>
    <customSheetView guid="{A8B05C3B-0E7E-44A3-A097-AF4C5C09F04E}" scale="80" showGridLines="0" printArea="1">
      <selection activeCell="A161" sqref="A161"/>
      <rowBreaks count="1" manualBreakCount="1">
        <brk id="108" max="11" man="1"/>
      </rowBreaks>
      <pageMargins left="0.5" right="0.25" top="0.32" bottom="0" header="0.27" footer="0.1"/>
      <pageSetup scale="63" firstPageNumber="38" fitToHeight="3" orientation="landscape" useFirstPageNumber="1" r:id="rId3"/>
      <headerFooter scaleWithDoc="0" alignWithMargins="0">
        <oddFooter>&amp;C&amp;8&amp;P</oddFooter>
        <firstFooter>&amp;C28</firstFooter>
      </headerFooter>
    </customSheetView>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4"/>
      <headerFooter scaleWithDoc="0" alignWithMargins="0">
        <oddFooter>&amp;C&amp;8&amp;P</oddFooter>
        <firstFooter>&amp;C28</firstFooter>
      </headerFooter>
    </customSheetView>
    <customSheetView guid="{4735AAE3-27B4-4549-AAB4-50ACA997F5F5}" scale="80" showGridLines="0" printArea="1">
      <selection activeCell="K28" sqref="K28"/>
      <rowBreaks count="1" manualBreakCount="1">
        <brk id="108" max="11" man="1"/>
      </rowBreaks>
      <pageMargins left="0.5" right="0.25" top="0.32" bottom="0" header="0.27" footer="0.1"/>
      <pageSetup scale="63" firstPageNumber="38" fitToHeight="3" orientation="landscape" useFirstPageNumber="1" r:id="rId5"/>
      <headerFooter scaleWithDoc="0" alignWithMargins="0">
        <oddFooter>&amp;C&amp;8&amp;P</oddFooter>
        <firstFooter>&amp;C28</firstFooter>
      </headerFooter>
    </customSheetView>
    <customSheetView guid="{80622567-647A-4891-B8EE-6B9E2C4DAC44}" scale="80" showGridLines="0" printArea="1" topLeftCell="A69">
      <selection activeCell="C102" sqref="C101:C102"/>
      <rowBreaks count="1" manualBreakCount="1">
        <brk id="108" max="11" man="1"/>
      </rowBreaks>
      <pageMargins left="0.5" right="0.25" top="0.32" bottom="0" header="0.27" footer="0.1"/>
      <pageSetup scale="63" firstPageNumber="38" fitToHeight="3" orientation="landscape" useFirstPageNumber="1" r:id="rId6"/>
      <headerFooter scaleWithDoc="0" alignWithMargins="0">
        <oddFooter>&amp;C&amp;8&amp;P</oddFooter>
        <firstFooter>&amp;C28</firstFooter>
      </headerFooter>
    </customSheetView>
    <customSheetView guid="{A97EE6C3-4DA8-41BD-BE43-F596EFCB43CA}" scale="80" showGridLines="0" printArea="1" topLeftCell="A97">
      <selection activeCell="G118" sqref="G118"/>
      <rowBreaks count="1" manualBreakCount="1">
        <brk id="108" max="11" man="1"/>
      </rowBreaks>
      <pageMargins left="0.5" right="0.25" top="0.32" bottom="0" header="0.27" footer="0.1"/>
      <pageSetup scale="63" firstPageNumber="38" fitToHeight="3" orientation="landscape" useFirstPageNumber="1" r:id="rId7"/>
      <headerFooter scaleWithDoc="0" alignWithMargins="0">
        <oddFooter>&amp;C&amp;8&amp;P</oddFooter>
        <firstFooter>&amp;C28</firstFooter>
      </headerFooter>
    </customSheetView>
    <customSheetView guid="{90B76C5A-2FC4-40F0-8436-3E4F075A4887}" scale="70" showGridLines="0" printArea="1" topLeftCell="A16">
      <selection activeCell="A153" sqref="A153"/>
      <rowBreaks count="1" manualBreakCount="1">
        <brk id="108" max="11" man="1"/>
      </rowBreaks>
      <pageMargins left="0.5" right="0.25" top="0.32" bottom="0" header="0.27" footer="0.1"/>
      <pageSetup scale="63" firstPageNumber="38" fitToHeight="3" orientation="landscape" useFirstPageNumber="1" r:id="rId8"/>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9"/>
  <headerFooter scaleWithDoc="0" alignWithMargins="0">
    <oddFooter>&amp;C&amp;8&amp;P</oddFooter>
    <firstFooter>&amp;C28</firstFooter>
  </headerFooter>
  <rowBreaks count="1" manualBreakCount="1">
    <brk id="108" max="11" man="1"/>
  </rowBreaks>
</worksheet>
</file>

<file path=xl/worksheets/sheet31.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65" zoomScaleNormal="70" zoomScaleSheetLayoutView="70" workbookViewId="0"/>
  </sheetViews>
  <sheetFormatPr defaultColWidth="8.88671875" defaultRowHeight="18"/>
  <cols>
    <col min="1" max="1" width="55.77734375" style="886" customWidth="1"/>
    <col min="2" max="2" width="6.33203125" style="886" customWidth="1"/>
    <col min="3" max="3" width="19.5546875" style="886" customWidth="1"/>
    <col min="4" max="4" width="3.109375" style="886" customWidth="1"/>
    <col min="5" max="5" width="17.33203125" style="886" customWidth="1"/>
    <col min="6" max="6" width="3.5546875" style="886" customWidth="1"/>
    <col min="7" max="7" width="18.21875" style="886" customWidth="1"/>
    <col min="8" max="8" width="3.109375" style="886" customWidth="1"/>
    <col min="9" max="9" width="17.33203125" style="886" customWidth="1"/>
    <col min="10" max="10" width="3.44140625" style="886" customWidth="1"/>
    <col min="11" max="11" width="22.109375" style="886" customWidth="1"/>
    <col min="12" max="12" width="15.5546875" style="886" customWidth="1"/>
    <col min="13" max="16384" width="8.88671875" style="886"/>
  </cols>
  <sheetData>
    <row r="1" spans="1:15">
      <c r="A1" s="1227" t="s">
        <v>1322</v>
      </c>
    </row>
    <row r="2" spans="1:15">
      <c r="A2" s="1877"/>
    </row>
    <row r="3" spans="1:15" s="852" customFormat="1" ht="18" customHeight="1">
      <c r="A3" s="847" t="s">
        <v>0</v>
      </c>
      <c r="B3" s="848"/>
      <c r="C3" s="848"/>
      <c r="D3" s="848"/>
      <c r="E3" s="849"/>
      <c r="F3" s="849"/>
      <c r="G3" s="850"/>
      <c r="H3" s="850"/>
      <c r="I3" s="847"/>
      <c r="J3" s="847"/>
      <c r="K3" s="851" t="s">
        <v>370</v>
      </c>
      <c r="L3" s="850"/>
      <c r="M3" s="850"/>
      <c r="N3" s="850"/>
      <c r="O3" s="850"/>
    </row>
    <row r="4" spans="1:15" s="852" customFormat="1" ht="18" customHeight="1">
      <c r="A4" s="847" t="s">
        <v>371</v>
      </c>
      <c r="B4" s="848"/>
      <c r="C4" s="848"/>
      <c r="D4" s="848"/>
      <c r="E4" s="849"/>
      <c r="F4" s="849"/>
      <c r="G4" s="850"/>
      <c r="H4" s="850"/>
      <c r="I4" s="847"/>
      <c r="J4" s="847"/>
      <c r="K4" s="847"/>
      <c r="L4" s="850"/>
      <c r="M4" s="850"/>
      <c r="N4" s="850"/>
      <c r="O4" s="850"/>
    </row>
    <row r="5" spans="1:15" s="852" customFormat="1" ht="18" customHeight="1">
      <c r="A5" s="853" t="s">
        <v>372</v>
      </c>
      <c r="B5" s="848"/>
      <c r="C5" s="848"/>
      <c r="D5" s="848"/>
      <c r="E5" s="849"/>
      <c r="F5" s="849"/>
      <c r="G5" s="850"/>
      <c r="H5" s="850"/>
      <c r="I5" s="847"/>
      <c r="J5" s="847"/>
      <c r="K5" s="847"/>
      <c r="L5" s="850"/>
      <c r="M5" s="850"/>
      <c r="N5" s="850"/>
      <c r="O5" s="850"/>
    </row>
    <row r="6" spans="1:15" s="852" customFormat="1" ht="18" customHeight="1">
      <c r="A6" s="853" t="s">
        <v>373</v>
      </c>
      <c r="B6" s="848"/>
      <c r="C6" s="848"/>
      <c r="D6" s="848"/>
      <c r="E6" s="849"/>
      <c r="F6" s="849"/>
      <c r="G6" s="850"/>
      <c r="H6" s="850"/>
      <c r="I6" s="847"/>
      <c r="J6" s="847"/>
      <c r="K6" s="847"/>
      <c r="L6" s="850"/>
      <c r="M6" s="850"/>
      <c r="N6" s="850"/>
      <c r="O6" s="850"/>
    </row>
    <row r="7" spans="1:15" s="852" customFormat="1" ht="18" customHeight="1">
      <c r="A7" s="2366" t="s">
        <v>1639</v>
      </c>
      <c r="B7" s="848"/>
      <c r="C7" s="848"/>
      <c r="D7" s="848"/>
      <c r="E7" s="849"/>
      <c r="F7" s="849"/>
      <c r="G7" s="850"/>
      <c r="H7" s="850"/>
      <c r="I7" s="847"/>
      <c r="J7" s="847"/>
      <c r="K7" s="847"/>
      <c r="L7" s="850"/>
      <c r="M7" s="850"/>
      <c r="N7" s="850"/>
      <c r="O7" s="850"/>
    </row>
    <row r="8" spans="1:15" s="852" customFormat="1" ht="18" customHeight="1">
      <c r="A8" s="847" t="s">
        <v>1198</v>
      </c>
      <c r="B8" s="848"/>
      <c r="C8" s="848"/>
      <c r="D8" s="848"/>
      <c r="E8" s="849"/>
      <c r="F8" s="849"/>
      <c r="G8" s="850"/>
      <c r="H8" s="850"/>
      <c r="I8" s="847"/>
      <c r="J8" s="847"/>
      <c r="K8" s="847"/>
      <c r="L8" s="850"/>
      <c r="M8" s="850"/>
      <c r="N8" s="850"/>
      <c r="O8" s="850"/>
    </row>
    <row r="9" spans="1:15" s="852" customFormat="1">
      <c r="A9" s="847"/>
      <c r="B9" s="847"/>
      <c r="C9" s="850"/>
      <c r="D9" s="847"/>
      <c r="E9" s="850"/>
      <c r="F9" s="850"/>
      <c r="G9" s="850"/>
      <c r="H9" s="850"/>
      <c r="I9" s="850"/>
      <c r="J9" s="850"/>
      <c r="K9" s="850"/>
      <c r="L9" s="850"/>
      <c r="M9" s="850"/>
      <c r="N9" s="850"/>
      <c r="O9" s="850"/>
    </row>
    <row r="10" spans="1:15" s="852" customFormat="1">
      <c r="A10" s="847"/>
      <c r="B10" s="847"/>
      <c r="C10" s="847"/>
      <c r="D10" s="847"/>
      <c r="E10" s="847"/>
      <c r="F10" s="847"/>
      <c r="G10" s="847"/>
      <c r="H10" s="847"/>
      <c r="I10" s="847"/>
      <c r="J10" s="847"/>
      <c r="K10" s="847"/>
      <c r="L10" s="850"/>
      <c r="M10" s="850"/>
      <c r="N10" s="850"/>
      <c r="O10" s="850"/>
    </row>
    <row r="11" spans="1:15" s="852" customFormat="1">
      <c r="A11" s="847"/>
      <c r="B11" s="847"/>
      <c r="C11" s="854"/>
      <c r="D11" s="847"/>
      <c r="E11" s="847"/>
      <c r="F11" s="847"/>
      <c r="G11" s="847"/>
      <c r="H11" s="847"/>
      <c r="I11" s="854" t="s">
        <v>374</v>
      </c>
      <c r="J11" s="847"/>
      <c r="K11" s="854"/>
      <c r="L11" s="850"/>
      <c r="M11" s="850"/>
      <c r="N11" s="850"/>
      <c r="O11" s="850"/>
    </row>
    <row r="12" spans="1:15" s="852" customFormat="1">
      <c r="A12" s="847"/>
      <c r="B12" s="847"/>
      <c r="C12" s="854" t="s">
        <v>248</v>
      </c>
      <c r="D12" s="847"/>
      <c r="E12" s="847"/>
      <c r="F12" s="847"/>
      <c r="G12" s="847"/>
      <c r="H12" s="847"/>
      <c r="I12" s="854" t="s">
        <v>375</v>
      </c>
      <c r="J12" s="847"/>
      <c r="K12" s="854" t="s">
        <v>248</v>
      </c>
      <c r="L12" s="850"/>
      <c r="M12" s="850"/>
      <c r="N12" s="850"/>
      <c r="O12" s="850"/>
    </row>
    <row r="13" spans="1:15" s="852" customFormat="1">
      <c r="A13" s="855" t="s">
        <v>376</v>
      </c>
      <c r="B13" s="847"/>
      <c r="C13" s="2007" t="s">
        <v>1640</v>
      </c>
      <c r="D13" s="847"/>
      <c r="E13" s="854" t="s">
        <v>250</v>
      </c>
      <c r="F13" s="847"/>
      <c r="G13" s="854" t="s">
        <v>251</v>
      </c>
      <c r="H13" s="847"/>
      <c r="I13" s="854" t="s">
        <v>252</v>
      </c>
      <c r="J13" s="847"/>
      <c r="K13" s="2008" t="s">
        <v>1641</v>
      </c>
      <c r="L13" s="850"/>
      <c r="M13" s="850"/>
      <c r="N13" s="850"/>
      <c r="O13" s="850"/>
    </row>
    <row r="14" spans="1:15" s="852" customFormat="1" ht="12" customHeight="1">
      <c r="A14" s="850"/>
      <c r="B14" s="850"/>
      <c r="C14" s="856"/>
      <c r="D14" s="850"/>
      <c r="E14" s="857"/>
      <c r="F14" s="850"/>
      <c r="G14" s="857"/>
      <c r="H14" s="850"/>
      <c r="I14" s="857"/>
      <c r="J14" s="850"/>
      <c r="K14" s="857"/>
      <c r="L14" s="850"/>
      <c r="M14" s="850"/>
      <c r="N14" s="850"/>
      <c r="O14" s="850"/>
    </row>
    <row r="15" spans="1:15" s="852" customFormat="1">
      <c r="A15" s="858" t="s">
        <v>229</v>
      </c>
      <c r="B15" s="850"/>
      <c r="C15" s="850"/>
      <c r="D15" s="850"/>
      <c r="E15" s="859"/>
      <c r="F15" s="850"/>
      <c r="G15" s="850"/>
      <c r="H15" s="850"/>
      <c r="I15" s="850"/>
      <c r="J15" s="850"/>
      <c r="K15" s="860"/>
      <c r="L15" s="850"/>
      <c r="M15" s="850"/>
      <c r="N15" s="850"/>
      <c r="O15" s="850"/>
    </row>
    <row r="16" spans="1:15" s="852" customFormat="1" ht="12" customHeight="1">
      <c r="A16" s="850"/>
      <c r="B16" s="850"/>
      <c r="C16" s="850"/>
      <c r="D16" s="850"/>
      <c r="E16" s="859"/>
      <c r="F16" s="850"/>
      <c r="G16" s="850"/>
      <c r="H16" s="850"/>
      <c r="I16" s="850"/>
      <c r="J16" s="850"/>
      <c r="K16" s="860"/>
      <c r="L16" s="850"/>
      <c r="M16" s="850"/>
      <c r="N16" s="850"/>
      <c r="O16" s="850"/>
    </row>
    <row r="17" spans="1:15" s="863" customFormat="1" ht="15.95" customHeight="1">
      <c r="A17" s="860" t="s">
        <v>377</v>
      </c>
      <c r="B17" s="861"/>
      <c r="C17" s="862">
        <v>0.20499999999999999</v>
      </c>
      <c r="D17" s="862"/>
      <c r="E17" s="862">
        <v>4.0000000000000001E-3</v>
      </c>
      <c r="F17" s="862"/>
      <c r="G17" s="862">
        <v>7.0000000000000001E-3</v>
      </c>
      <c r="H17" s="862"/>
      <c r="I17" s="862">
        <v>0</v>
      </c>
      <c r="J17" s="862"/>
      <c r="K17" s="862">
        <f t="shared" ref="K17:K24" si="0">ROUND(SUM(C17,E17,I17) - SUM(G17),3)</f>
        <v>0.20200000000000001</v>
      </c>
      <c r="L17" s="860"/>
      <c r="M17" s="860"/>
      <c r="N17" s="860"/>
      <c r="O17" s="860"/>
    </row>
    <row r="18" spans="1:15" s="863" customFormat="1" ht="15.75" customHeight="1">
      <c r="A18" s="860" t="s">
        <v>378</v>
      </c>
      <c r="B18" s="860"/>
      <c r="C18" s="864">
        <v>1.627</v>
      </c>
      <c r="D18" s="865"/>
      <c r="E18" s="864">
        <v>2.371</v>
      </c>
      <c r="F18" s="864"/>
      <c r="G18" s="864">
        <v>2.3889999999999998</v>
      </c>
      <c r="H18" s="865"/>
      <c r="I18" s="864">
        <v>0</v>
      </c>
      <c r="J18" s="865"/>
      <c r="K18" s="864">
        <f t="shared" si="0"/>
        <v>1.609</v>
      </c>
      <c r="L18" s="860"/>
      <c r="M18" s="860"/>
      <c r="N18" s="860"/>
      <c r="O18" s="860"/>
    </row>
    <row r="19" spans="1:15" s="863" customFormat="1" ht="15.95" customHeight="1">
      <c r="A19" s="860" t="s">
        <v>379</v>
      </c>
      <c r="B19" s="860"/>
      <c r="C19" s="864">
        <v>3.1739999999999999</v>
      </c>
      <c r="D19" s="865"/>
      <c r="E19" s="864">
        <v>2.8679999999999999</v>
      </c>
      <c r="F19" s="864"/>
      <c r="G19" s="864">
        <v>3.2469999999999999</v>
      </c>
      <c r="H19" s="865"/>
      <c r="I19" s="864">
        <v>0</v>
      </c>
      <c r="J19" s="865"/>
      <c r="K19" s="864">
        <f t="shared" si="0"/>
        <v>2.7949999999999999</v>
      </c>
      <c r="L19" s="860"/>
      <c r="M19" s="860"/>
      <c r="N19" s="860"/>
      <c r="O19" s="860"/>
    </row>
    <row r="20" spans="1:15" s="863" customFormat="1" ht="15.95" customHeight="1">
      <c r="A20" s="860" t="s">
        <v>1392</v>
      </c>
      <c r="B20" s="860"/>
      <c r="C20" s="864">
        <v>3.3260000000000001</v>
      </c>
      <c r="D20" s="865"/>
      <c r="E20" s="864">
        <v>0.36599999999999999</v>
      </c>
      <c r="F20" s="864"/>
      <c r="G20" s="864">
        <v>0.19</v>
      </c>
      <c r="H20" s="865"/>
      <c r="I20" s="864">
        <v>0</v>
      </c>
      <c r="J20" s="865"/>
      <c r="K20" s="864">
        <f t="shared" si="0"/>
        <v>3.5019999999999998</v>
      </c>
      <c r="L20" s="860"/>
      <c r="M20" s="860"/>
      <c r="N20" s="860"/>
      <c r="O20" s="860"/>
    </row>
    <row r="21" spans="1:15" s="863" customFormat="1" ht="15.95" customHeight="1">
      <c r="A21" s="860" t="s">
        <v>1393</v>
      </c>
      <c r="B21" s="860"/>
      <c r="C21" s="864">
        <v>1.796</v>
      </c>
      <c r="D21" s="865"/>
      <c r="E21" s="866">
        <v>6.9000000000000006E-2</v>
      </c>
      <c r="F21" s="864"/>
      <c r="G21" s="864">
        <v>0.05</v>
      </c>
      <c r="H21" s="865"/>
      <c r="I21" s="864">
        <v>0</v>
      </c>
      <c r="J21" s="865"/>
      <c r="K21" s="864">
        <f t="shared" si="0"/>
        <v>1.8149999999999999</v>
      </c>
      <c r="L21" s="860"/>
      <c r="M21" s="860"/>
      <c r="N21" s="860"/>
      <c r="O21" s="860"/>
    </row>
    <row r="22" spans="1:15" s="863" customFormat="1" ht="15.95" customHeight="1">
      <c r="A22" s="860" t="s">
        <v>1394</v>
      </c>
      <c r="B22" s="860"/>
      <c r="C22" s="864">
        <v>1.37</v>
      </c>
      <c r="D22" s="865"/>
      <c r="E22" s="867">
        <v>3.1E-2</v>
      </c>
      <c r="F22" s="864"/>
      <c r="G22" s="865">
        <v>5.0999999999999997E-2</v>
      </c>
      <c r="H22" s="865"/>
      <c r="I22" s="864">
        <v>0</v>
      </c>
      <c r="J22" s="865"/>
      <c r="K22" s="864">
        <f t="shared" si="0"/>
        <v>1.35</v>
      </c>
      <c r="L22" s="860"/>
      <c r="M22" s="860"/>
      <c r="N22" s="860"/>
      <c r="O22" s="860"/>
    </row>
    <row r="23" spans="1:15" s="863" customFormat="1" ht="15.95" customHeight="1">
      <c r="A23" s="860" t="s">
        <v>380</v>
      </c>
      <c r="B23" s="860"/>
      <c r="C23" s="864">
        <v>3.9740000000000002</v>
      </c>
      <c r="D23" s="865"/>
      <c r="E23" s="864">
        <v>0.17399999999999999</v>
      </c>
      <c r="F23" s="864"/>
      <c r="G23" s="864">
        <v>8.7999999999999995E-2</v>
      </c>
      <c r="H23" s="865"/>
      <c r="I23" s="864">
        <v>0</v>
      </c>
      <c r="J23" s="865"/>
      <c r="K23" s="864">
        <f t="shared" si="0"/>
        <v>4.0599999999999996</v>
      </c>
      <c r="L23" s="860"/>
      <c r="M23" s="860"/>
      <c r="N23" s="860"/>
      <c r="O23" s="860"/>
    </row>
    <row r="24" spans="1:15" s="863" customFormat="1" ht="15.95" customHeight="1">
      <c r="A24" s="868" t="s">
        <v>381</v>
      </c>
      <c r="B24" s="860"/>
      <c r="C24" s="864">
        <v>41.530999999999999</v>
      </c>
      <c r="D24" s="869"/>
      <c r="E24" s="864">
        <v>186.56100000000001</v>
      </c>
      <c r="F24" s="870"/>
      <c r="G24" s="864">
        <v>166.983</v>
      </c>
      <c r="H24" s="865"/>
      <c r="I24" s="864">
        <v>0</v>
      </c>
      <c r="J24" s="865"/>
      <c r="K24" s="864">
        <f t="shared" si="0"/>
        <v>61.109000000000002</v>
      </c>
      <c r="L24" s="860"/>
      <c r="M24" s="860"/>
      <c r="N24" s="860"/>
      <c r="O24" s="860"/>
    </row>
    <row r="25" spans="1:15" s="852" customFormat="1" ht="20.100000000000001" customHeight="1">
      <c r="A25" s="847" t="s">
        <v>382</v>
      </c>
      <c r="B25" s="850"/>
      <c r="C25" s="871">
        <f>ROUND(SUM(C17:C24),3)</f>
        <v>57.003</v>
      </c>
      <c r="D25" s="872"/>
      <c r="E25" s="871">
        <f>ROUND(SUM(E17:E24),3)</f>
        <v>192.44399999999999</v>
      </c>
      <c r="F25" s="872"/>
      <c r="G25" s="871">
        <f>ROUND(SUM(G17:G24),3)</f>
        <v>173.005</v>
      </c>
      <c r="H25" s="873"/>
      <c r="I25" s="871">
        <f>ROUND(SUM(I17:I24),3)</f>
        <v>0</v>
      </c>
      <c r="J25" s="873"/>
      <c r="K25" s="871">
        <f>ROUND(SUM(K17:K24),3)</f>
        <v>76.441999999999993</v>
      </c>
      <c r="L25" s="874"/>
      <c r="M25" s="850"/>
      <c r="N25" s="850"/>
      <c r="O25" s="850"/>
    </row>
    <row r="26" spans="1:15" s="852" customFormat="1" ht="15" customHeight="1">
      <c r="A26" s="850"/>
      <c r="B26" s="850"/>
      <c r="C26" s="1380"/>
      <c r="D26" s="935"/>
      <c r="E26" s="1380"/>
      <c r="F26" s="935"/>
      <c r="G26" s="1380"/>
      <c r="H26" s="935"/>
      <c r="I26" s="1381"/>
      <c r="J26" s="935"/>
      <c r="K26" s="1380"/>
      <c r="L26" s="850"/>
      <c r="M26" s="850"/>
      <c r="N26" s="850"/>
      <c r="O26" s="850"/>
    </row>
    <row r="27" spans="1:15" s="852" customFormat="1" ht="15" customHeight="1">
      <c r="A27" s="850"/>
      <c r="B27" s="850"/>
      <c r="C27" s="935"/>
      <c r="D27" s="1382" t="s">
        <v>247</v>
      </c>
      <c r="E27" s="935"/>
      <c r="F27" s="935"/>
      <c r="G27" s="935"/>
      <c r="H27" s="935"/>
      <c r="I27" s="935"/>
      <c r="J27" s="935"/>
      <c r="K27" s="935"/>
      <c r="L27" s="850"/>
      <c r="M27" s="850"/>
      <c r="N27" s="850"/>
      <c r="O27" s="850"/>
    </row>
    <row r="28" spans="1:15" s="852" customFormat="1" ht="15" customHeight="1">
      <c r="A28" s="850"/>
      <c r="B28" s="850"/>
      <c r="C28" s="935"/>
      <c r="D28" s="935"/>
      <c r="E28" s="935"/>
      <c r="F28" s="935"/>
      <c r="G28" s="935"/>
      <c r="H28" s="935"/>
      <c r="I28" s="935"/>
      <c r="J28" s="935"/>
      <c r="K28" s="935"/>
      <c r="L28" s="850"/>
      <c r="M28" s="850"/>
      <c r="N28" s="850"/>
      <c r="O28" s="850"/>
    </row>
    <row r="29" spans="1:15" s="852" customFormat="1" ht="15" customHeight="1">
      <c r="A29" s="858" t="s">
        <v>234</v>
      </c>
      <c r="B29" s="850"/>
      <c r="C29" s="935"/>
      <c r="D29" s="935"/>
      <c r="E29" s="935"/>
      <c r="F29" s="935"/>
      <c r="G29" s="935"/>
      <c r="H29" s="935"/>
      <c r="I29" s="935"/>
      <c r="J29" s="935"/>
      <c r="K29" s="935"/>
      <c r="L29" s="850"/>
      <c r="M29" s="850"/>
      <c r="N29" s="850"/>
      <c r="O29" s="850"/>
    </row>
    <row r="30" spans="1:15" s="852" customFormat="1" ht="15" customHeight="1">
      <c r="A30" s="858"/>
      <c r="B30" s="850"/>
      <c r="C30" s="935"/>
      <c r="D30" s="935"/>
      <c r="E30" s="935"/>
      <c r="F30" s="935"/>
      <c r="G30" s="935"/>
      <c r="H30" s="935"/>
      <c r="I30" s="935"/>
      <c r="J30" s="935"/>
      <c r="K30" s="935"/>
      <c r="L30" s="850"/>
      <c r="M30" s="850"/>
      <c r="N30" s="850"/>
      <c r="O30" s="850"/>
    </row>
    <row r="31" spans="1:15" s="852" customFormat="1" ht="15.95" customHeight="1">
      <c r="A31" s="850" t="s">
        <v>1395</v>
      </c>
      <c r="B31" s="850"/>
      <c r="C31" s="1383">
        <v>-76.167000000000002</v>
      </c>
      <c r="D31" s="935"/>
      <c r="E31" s="1383">
        <v>19.988</v>
      </c>
      <c r="F31" s="1384"/>
      <c r="G31" s="1383">
        <v>34.738</v>
      </c>
      <c r="H31" s="935"/>
      <c r="I31" s="867">
        <v>7.1999999999999995E-2</v>
      </c>
      <c r="J31" s="935"/>
      <c r="K31" s="864">
        <f t="shared" ref="K31:K38" si="1">ROUND(SUM(C31,E31,I31) - SUM(G31),3)</f>
        <v>-90.844999999999999</v>
      </c>
      <c r="L31" s="850"/>
      <c r="M31" s="850"/>
      <c r="N31" s="850"/>
      <c r="O31" s="850"/>
    </row>
    <row r="32" spans="1:15" s="852" customFormat="1" ht="15.95" customHeight="1">
      <c r="A32" s="850" t="s">
        <v>383</v>
      </c>
      <c r="B32" s="850"/>
      <c r="C32" s="1383">
        <v>-71.481999999999999</v>
      </c>
      <c r="D32" s="935"/>
      <c r="E32" s="864">
        <v>5.6319999999999997</v>
      </c>
      <c r="F32" s="865"/>
      <c r="G32" s="864">
        <v>10.016</v>
      </c>
      <c r="H32" s="865"/>
      <c r="I32" s="867">
        <v>1.9770000000000001</v>
      </c>
      <c r="J32" s="865"/>
      <c r="K32" s="864">
        <f t="shared" si="1"/>
        <v>-73.888999999999996</v>
      </c>
      <c r="L32" s="850"/>
      <c r="M32" s="850"/>
      <c r="N32" s="850"/>
      <c r="O32" s="850"/>
    </row>
    <row r="33" spans="1:15" s="852" customFormat="1" ht="15.95" customHeight="1">
      <c r="A33" s="850" t="s">
        <v>384</v>
      </c>
      <c r="B33" s="850"/>
      <c r="C33" s="1383">
        <v>7.1999999999999995E-2</v>
      </c>
      <c r="D33" s="935"/>
      <c r="E33" s="867">
        <v>7.2999999999999995E-2</v>
      </c>
      <c r="F33" s="865"/>
      <c r="G33" s="864">
        <v>5.8999999999999997E-2</v>
      </c>
      <c r="H33" s="865"/>
      <c r="I33" s="864">
        <v>0</v>
      </c>
      <c r="J33" s="865"/>
      <c r="K33" s="864">
        <f t="shared" si="1"/>
        <v>8.5999999999999993E-2</v>
      </c>
      <c r="L33" s="850"/>
      <c r="M33" s="850"/>
      <c r="N33" s="850"/>
      <c r="O33" s="850"/>
    </row>
    <row r="34" spans="1:15" s="852" customFormat="1" ht="15.95" customHeight="1">
      <c r="A34" s="850" t="s">
        <v>385</v>
      </c>
      <c r="B34" s="850"/>
      <c r="C34" s="1383">
        <v>6.2E-2</v>
      </c>
      <c r="D34" s="935"/>
      <c r="E34" s="864">
        <v>2E-3</v>
      </c>
      <c r="F34" s="865"/>
      <c r="G34" s="878">
        <v>3.0000000000000001E-3</v>
      </c>
      <c r="H34" s="865"/>
      <c r="I34" s="864">
        <v>0</v>
      </c>
      <c r="J34" s="865"/>
      <c r="K34" s="864">
        <f t="shared" si="1"/>
        <v>6.0999999999999999E-2</v>
      </c>
      <c r="L34" s="850"/>
      <c r="M34" s="850"/>
      <c r="N34" s="850"/>
      <c r="O34" s="850"/>
    </row>
    <row r="35" spans="1:15" s="852" customFormat="1" ht="15.95" customHeight="1">
      <c r="A35" s="850" t="s">
        <v>1396</v>
      </c>
      <c r="B35" s="850"/>
      <c r="C35" s="1383">
        <v>1.5249999999999999</v>
      </c>
      <c r="D35" s="935"/>
      <c r="E35" s="864">
        <v>0</v>
      </c>
      <c r="F35" s="865"/>
      <c r="G35" s="867">
        <v>3.5999999999999997E-2</v>
      </c>
      <c r="H35" s="865"/>
      <c r="I35" s="864">
        <v>0</v>
      </c>
      <c r="J35" s="865"/>
      <c r="K35" s="864">
        <f t="shared" si="1"/>
        <v>1.4890000000000001</v>
      </c>
      <c r="L35" s="850"/>
      <c r="M35" s="850"/>
      <c r="N35" s="850"/>
      <c r="O35" s="850"/>
    </row>
    <row r="36" spans="1:15" s="852" customFormat="1" ht="15.95" customHeight="1">
      <c r="A36" s="850" t="s">
        <v>386</v>
      </c>
      <c r="B36" s="850"/>
      <c r="C36" s="1383">
        <v>-5.7080000000000002</v>
      </c>
      <c r="D36" s="935"/>
      <c r="E36" s="864">
        <v>0</v>
      </c>
      <c r="F36" s="865"/>
      <c r="G36" s="867">
        <v>1.177</v>
      </c>
      <c r="H36" s="865"/>
      <c r="I36" s="864">
        <v>0</v>
      </c>
      <c r="J36" s="865"/>
      <c r="K36" s="864">
        <f t="shared" si="1"/>
        <v>-6.8849999999999998</v>
      </c>
      <c r="L36" s="850"/>
      <c r="M36" s="850"/>
      <c r="N36" s="850"/>
      <c r="O36" s="850"/>
    </row>
    <row r="37" spans="1:15" s="852" customFormat="1" ht="15.95" customHeight="1">
      <c r="A37" s="850" t="s">
        <v>387</v>
      </c>
      <c r="B37" s="850"/>
      <c r="C37" s="1383">
        <v>-14.798999999999999</v>
      </c>
      <c r="D37" s="935"/>
      <c r="E37" s="864">
        <v>1.024</v>
      </c>
      <c r="F37" s="865"/>
      <c r="G37" s="864">
        <v>2.12</v>
      </c>
      <c r="H37" s="865"/>
      <c r="I37" s="1385">
        <v>0</v>
      </c>
      <c r="J37" s="865"/>
      <c r="K37" s="864">
        <f t="shared" si="1"/>
        <v>-15.895</v>
      </c>
      <c r="L37" s="850"/>
      <c r="M37" s="850"/>
      <c r="N37" s="850"/>
      <c r="O37" s="850"/>
    </row>
    <row r="38" spans="1:15" s="852" customFormat="1" ht="15.95" customHeight="1">
      <c r="A38" s="850" t="s">
        <v>388</v>
      </c>
      <c r="B38" s="850"/>
      <c r="C38" s="1383">
        <v>-16.895</v>
      </c>
      <c r="D38" s="1381"/>
      <c r="E38" s="864">
        <v>4.2009999999999996</v>
      </c>
      <c r="F38" s="869"/>
      <c r="G38" s="864">
        <v>6.8250000000000002</v>
      </c>
      <c r="H38" s="865"/>
      <c r="I38" s="867">
        <v>0</v>
      </c>
      <c r="J38" s="865"/>
      <c r="K38" s="864">
        <f t="shared" si="1"/>
        <v>-19.518999999999998</v>
      </c>
      <c r="L38" s="850"/>
      <c r="M38" s="850"/>
      <c r="N38" s="850"/>
      <c r="O38" s="850"/>
    </row>
    <row r="39" spans="1:15" s="852" customFormat="1" ht="20.100000000000001" customHeight="1">
      <c r="A39" s="847" t="s">
        <v>389</v>
      </c>
      <c r="B39" s="850"/>
      <c r="C39" s="871">
        <f>ROUND(SUM(C31:C38),3)</f>
        <v>-183.392</v>
      </c>
      <c r="D39" s="1386"/>
      <c r="E39" s="871">
        <f>ROUND(SUM(E31:E38),3)</f>
        <v>30.92</v>
      </c>
      <c r="F39" s="1386"/>
      <c r="G39" s="871">
        <f>ROUND(SUM(G31:G38),3)</f>
        <v>54.973999999999997</v>
      </c>
      <c r="H39" s="1387"/>
      <c r="I39" s="871">
        <f>ROUND(SUM(I31:I38),3)</f>
        <v>2.0489999999999999</v>
      </c>
      <c r="J39" s="1387"/>
      <c r="K39" s="871">
        <f>ROUND(SUM(K31:K38),3)</f>
        <v>-205.39699999999999</v>
      </c>
      <c r="L39" s="879"/>
      <c r="M39" s="850"/>
      <c r="N39" s="850"/>
      <c r="O39" s="850"/>
    </row>
    <row r="40" spans="1:15" s="852" customFormat="1" ht="15" customHeight="1">
      <c r="A40" s="847"/>
      <c r="B40" s="850"/>
      <c r="C40" s="880"/>
      <c r="D40" s="876"/>
      <c r="E40" s="875"/>
      <c r="F40" s="876"/>
      <c r="G40" s="875"/>
      <c r="H40" s="876"/>
      <c r="I40" s="877"/>
      <c r="J40" s="876"/>
      <c r="K40" s="875"/>
      <c r="L40" s="850"/>
      <c r="M40" s="850"/>
      <c r="N40" s="850"/>
      <c r="O40" s="850"/>
    </row>
    <row r="41" spans="1:15" s="852" customFormat="1" ht="15" customHeight="1">
      <c r="A41" s="847"/>
      <c r="B41" s="850"/>
      <c r="C41" s="877"/>
      <c r="D41" s="876"/>
      <c r="E41" s="876"/>
      <c r="F41" s="876"/>
      <c r="G41" s="876" t="s">
        <v>16</v>
      </c>
      <c r="H41" s="876"/>
      <c r="I41" s="881"/>
      <c r="J41" s="876"/>
      <c r="K41" s="876"/>
      <c r="L41" s="850"/>
      <c r="M41" s="850"/>
      <c r="N41" s="850"/>
      <c r="O41" s="850"/>
    </row>
    <row r="42" spans="1:15" s="852" customFormat="1" ht="20.100000000000001" customHeight="1" thickBot="1">
      <c r="A42" s="847" t="s">
        <v>68</v>
      </c>
      <c r="B42" s="882"/>
      <c r="C42" s="1388">
        <f>ROUND(SUM(C39)+SUM(C25),3)</f>
        <v>-126.389</v>
      </c>
      <c r="D42" s="939"/>
      <c r="E42" s="1388">
        <f>ROUND(SUM(E39)+SUM(E25),3)</f>
        <v>223.364</v>
      </c>
      <c r="F42" s="939"/>
      <c r="G42" s="1388">
        <f>ROUND(SUM(G39)+SUM(G25),3)</f>
        <v>227.97900000000001</v>
      </c>
      <c r="H42" s="939"/>
      <c r="I42" s="1388">
        <f>ROUND(SUM(I39)+SUM(I25),3)</f>
        <v>2.0489999999999999</v>
      </c>
      <c r="J42" s="939"/>
      <c r="K42" s="1388">
        <f>ROUND(SUM(K39)+SUM(K25),3)</f>
        <v>-128.95500000000001</v>
      </c>
      <c r="L42" s="874"/>
      <c r="M42" s="850"/>
      <c r="N42" s="850"/>
      <c r="O42" s="850"/>
    </row>
    <row r="43" spans="1:15" s="852" customFormat="1" ht="18.75" thickTop="1">
      <c r="A43" s="850"/>
      <c r="B43" s="850"/>
      <c r="C43" s="883"/>
      <c r="D43" s="876"/>
      <c r="E43" s="883"/>
      <c r="F43" s="876"/>
      <c r="G43" s="883"/>
      <c r="H43" s="876"/>
      <c r="I43" s="884"/>
      <c r="J43" s="876"/>
      <c r="K43" s="883"/>
      <c r="L43" s="850"/>
      <c r="M43" s="850"/>
      <c r="N43" s="850"/>
      <c r="O43" s="850"/>
    </row>
    <row r="44" spans="1:15" s="852" customFormat="1">
      <c r="A44" s="885"/>
      <c r="B44" s="886"/>
      <c r="C44" s="887"/>
      <c r="D44" s="887"/>
      <c r="E44" s="888"/>
      <c r="F44" s="888"/>
      <c r="G44" s="888"/>
      <c r="H44" s="888"/>
      <c r="I44" s="889"/>
      <c r="J44" s="887"/>
      <c r="K44" s="890"/>
      <c r="L44" s="886"/>
      <c r="M44" s="886"/>
      <c r="N44" s="886"/>
      <c r="O44" s="886"/>
    </row>
    <row r="45" spans="1:15" s="852" customFormat="1">
      <c r="A45" s="886"/>
      <c r="B45" s="886"/>
      <c r="C45" s="887"/>
      <c r="D45" s="887"/>
      <c r="E45" s="887"/>
      <c r="F45" s="887"/>
      <c r="G45" s="887"/>
      <c r="H45" s="886"/>
      <c r="I45" s="891"/>
      <c r="J45" s="887"/>
      <c r="K45" s="887"/>
      <c r="L45" s="886"/>
      <c r="M45" s="886"/>
      <c r="N45" s="886"/>
      <c r="O45" s="886"/>
    </row>
    <row r="46" spans="1:15" s="852" customFormat="1">
      <c r="A46" s="886"/>
      <c r="B46" s="886"/>
      <c r="C46" s="887"/>
      <c r="D46" s="887"/>
      <c r="E46" s="887"/>
      <c r="F46" s="887"/>
      <c r="G46" s="892"/>
      <c r="H46" s="886"/>
      <c r="I46" s="891"/>
      <c r="J46" s="887"/>
      <c r="K46" s="887"/>
      <c r="L46" s="886"/>
      <c r="M46" s="886"/>
      <c r="N46" s="886"/>
      <c r="O46" s="886"/>
    </row>
    <row r="47" spans="1:15" s="852" customFormat="1">
      <c r="A47" s="886"/>
      <c r="B47" s="886"/>
      <c r="C47" s="887"/>
      <c r="D47" s="887"/>
      <c r="E47" s="887"/>
      <c r="F47" s="887"/>
      <c r="G47" s="887"/>
      <c r="H47" s="886"/>
      <c r="I47" s="891"/>
      <c r="J47" s="887"/>
      <c r="K47" s="887"/>
      <c r="L47" s="886"/>
      <c r="M47" s="886"/>
      <c r="N47" s="886"/>
      <c r="O47" s="886"/>
    </row>
    <row r="48" spans="1:15" s="852" customFormat="1">
      <c r="A48" s="886"/>
      <c r="B48" s="886"/>
      <c r="C48" s="887"/>
      <c r="D48" s="887"/>
      <c r="E48" s="887"/>
      <c r="F48" s="887"/>
      <c r="G48" s="887"/>
      <c r="H48" s="886"/>
      <c r="I48" s="891"/>
      <c r="J48" s="887"/>
      <c r="K48" s="887"/>
      <c r="L48" s="886"/>
      <c r="M48" s="886"/>
      <c r="N48" s="886"/>
      <c r="O48" s="886"/>
    </row>
    <row r="49" spans="1:15" s="852" customFormat="1">
      <c r="A49" s="886"/>
      <c r="B49" s="886"/>
      <c r="C49" s="887"/>
      <c r="D49" s="887"/>
      <c r="E49" s="887"/>
      <c r="F49" s="887"/>
      <c r="G49" s="887"/>
      <c r="H49" s="886"/>
      <c r="I49" s="891"/>
      <c r="J49" s="887"/>
      <c r="K49" s="887"/>
      <c r="L49" s="886"/>
      <c r="M49" s="886"/>
      <c r="N49" s="886"/>
      <c r="O49" s="886"/>
    </row>
    <row r="50" spans="1:15" s="852" customFormat="1">
      <c r="A50" s="850"/>
      <c r="B50" s="886"/>
      <c r="C50" s="887"/>
      <c r="D50" s="887"/>
      <c r="E50" s="887"/>
      <c r="F50" s="887"/>
      <c r="G50" s="887"/>
      <c r="H50" s="886"/>
      <c r="I50" s="886"/>
      <c r="J50" s="887"/>
      <c r="K50" s="887"/>
      <c r="L50" s="886"/>
      <c r="M50" s="886"/>
      <c r="N50" s="886"/>
      <c r="O50" s="886"/>
    </row>
    <row r="51" spans="1:15" s="852" customFormat="1">
      <c r="A51" s="886"/>
      <c r="B51" s="886"/>
      <c r="C51" s="887"/>
      <c r="D51" s="887"/>
      <c r="E51" s="887"/>
      <c r="F51" s="887"/>
      <c r="G51" s="887"/>
      <c r="H51" s="886"/>
      <c r="I51" s="886"/>
      <c r="J51" s="887"/>
      <c r="K51" s="887"/>
      <c r="L51" s="886"/>
      <c r="M51" s="886"/>
      <c r="N51" s="886"/>
      <c r="O51" s="886"/>
    </row>
    <row r="52" spans="1:15" s="852" customFormat="1">
      <c r="A52" s="886"/>
      <c r="B52" s="886"/>
      <c r="C52" s="887"/>
      <c r="D52" s="887"/>
      <c r="E52" s="887"/>
      <c r="F52" s="887"/>
      <c r="G52" s="887"/>
      <c r="H52" s="886"/>
      <c r="I52" s="886"/>
      <c r="J52" s="887"/>
      <c r="K52" s="887"/>
      <c r="L52" s="886"/>
      <c r="M52" s="886"/>
      <c r="N52" s="886"/>
      <c r="O52" s="886"/>
    </row>
    <row r="53" spans="1:15" s="852" customFormat="1">
      <c r="A53" s="886"/>
      <c r="B53" s="886"/>
      <c r="C53" s="887"/>
      <c r="D53" s="887"/>
      <c r="E53" s="887"/>
      <c r="F53" s="887"/>
      <c r="G53" s="887"/>
      <c r="H53" s="886"/>
      <c r="I53" s="886"/>
      <c r="J53" s="887"/>
      <c r="K53" s="887"/>
      <c r="L53" s="886"/>
      <c r="M53" s="886"/>
      <c r="N53" s="886"/>
      <c r="O53" s="886"/>
    </row>
    <row r="54" spans="1:15" s="852" customFormat="1">
      <c r="A54" s="886"/>
      <c r="B54" s="886"/>
      <c r="C54" s="887"/>
      <c r="D54" s="887"/>
      <c r="E54" s="887"/>
      <c r="F54" s="887"/>
      <c r="G54" s="887"/>
      <c r="H54" s="886"/>
      <c r="I54" s="886"/>
      <c r="J54" s="887"/>
      <c r="K54" s="887"/>
      <c r="L54" s="886"/>
      <c r="M54" s="886"/>
      <c r="N54" s="886"/>
      <c r="O54" s="886"/>
    </row>
    <row r="55" spans="1:15" s="852" customFormat="1">
      <c r="A55" s="886"/>
      <c r="B55" s="886"/>
      <c r="C55" s="887"/>
      <c r="D55" s="887"/>
      <c r="E55" s="887"/>
      <c r="F55" s="887"/>
      <c r="G55" s="887"/>
      <c r="H55" s="886"/>
      <c r="I55" s="886"/>
      <c r="J55" s="887"/>
      <c r="K55" s="887"/>
      <c r="L55" s="886"/>
      <c r="M55" s="886"/>
      <c r="N55" s="886"/>
      <c r="O55" s="886"/>
    </row>
    <row r="56" spans="1:15" s="852" customFormat="1">
      <c r="A56" s="886"/>
      <c r="B56" s="886"/>
      <c r="C56" s="887"/>
      <c r="D56" s="887"/>
      <c r="E56" s="887"/>
      <c r="F56" s="887"/>
      <c r="G56" s="887"/>
      <c r="H56" s="886"/>
      <c r="I56" s="886"/>
      <c r="J56" s="887"/>
      <c r="K56" s="887"/>
      <c r="L56" s="886"/>
      <c r="M56" s="886"/>
      <c r="N56" s="886"/>
      <c r="O56" s="886"/>
    </row>
    <row r="57" spans="1:15" s="852" customFormat="1">
      <c r="A57" s="886"/>
      <c r="B57" s="886"/>
      <c r="C57" s="887"/>
      <c r="D57" s="887"/>
      <c r="E57" s="887"/>
      <c r="F57" s="887"/>
      <c r="G57" s="887"/>
      <c r="H57" s="886"/>
      <c r="I57" s="886"/>
      <c r="J57" s="887"/>
      <c r="K57" s="887"/>
      <c r="L57" s="886"/>
      <c r="M57" s="886"/>
      <c r="N57" s="886"/>
      <c r="O57" s="886"/>
    </row>
    <row r="58" spans="1:15" s="852" customFormat="1">
      <c r="A58" s="886"/>
      <c r="B58" s="886"/>
      <c r="C58" s="887"/>
      <c r="D58" s="887"/>
      <c r="E58" s="887"/>
      <c r="F58" s="887"/>
      <c r="G58" s="887"/>
      <c r="H58" s="886"/>
      <c r="I58" s="886"/>
      <c r="J58" s="887"/>
      <c r="K58" s="887"/>
      <c r="L58" s="886"/>
      <c r="M58" s="886"/>
      <c r="N58" s="886"/>
      <c r="O58" s="886"/>
    </row>
    <row r="59" spans="1:15" s="852" customFormat="1">
      <c r="A59" s="886"/>
      <c r="B59" s="886"/>
      <c r="C59" s="887"/>
      <c r="D59" s="887"/>
      <c r="E59" s="887"/>
      <c r="F59" s="887"/>
      <c r="G59" s="887"/>
      <c r="H59" s="886"/>
      <c r="I59" s="886"/>
      <c r="J59" s="887"/>
      <c r="K59" s="887"/>
      <c r="L59" s="886"/>
      <c r="M59" s="886"/>
      <c r="N59" s="886"/>
      <c r="O59" s="886"/>
    </row>
    <row r="60" spans="1:15" s="852" customFormat="1">
      <c r="A60" s="886"/>
      <c r="B60" s="886"/>
      <c r="C60" s="887"/>
      <c r="D60" s="887"/>
      <c r="E60" s="887"/>
      <c r="F60" s="887"/>
      <c r="G60" s="887"/>
      <c r="H60" s="886"/>
      <c r="I60" s="886"/>
      <c r="J60" s="887"/>
      <c r="K60" s="887"/>
      <c r="L60" s="886"/>
      <c r="M60" s="886"/>
      <c r="N60" s="886"/>
      <c r="O60" s="886"/>
    </row>
    <row r="61" spans="1:15" s="852" customFormat="1">
      <c r="A61" s="886"/>
      <c r="B61" s="886"/>
      <c r="C61" s="887"/>
      <c r="D61" s="887"/>
      <c r="E61" s="887"/>
      <c r="F61" s="887"/>
      <c r="G61" s="887"/>
      <c r="H61" s="886"/>
      <c r="I61" s="886"/>
      <c r="J61" s="887"/>
      <c r="K61" s="887"/>
      <c r="L61" s="886"/>
      <c r="M61" s="886"/>
      <c r="N61" s="886"/>
      <c r="O61" s="886"/>
    </row>
    <row r="62" spans="1:15" s="852" customFormat="1">
      <c r="A62" s="886"/>
      <c r="B62" s="886"/>
      <c r="C62" s="887"/>
      <c r="D62" s="887"/>
      <c r="E62" s="887"/>
      <c r="F62" s="887"/>
      <c r="G62" s="887"/>
      <c r="H62" s="886"/>
      <c r="I62" s="886"/>
      <c r="J62" s="887"/>
      <c r="K62" s="887"/>
      <c r="L62" s="886"/>
      <c r="M62" s="886"/>
      <c r="N62" s="886"/>
      <c r="O62" s="886"/>
    </row>
    <row r="63" spans="1:15" s="852" customFormat="1">
      <c r="A63" s="886"/>
      <c r="B63" s="886"/>
      <c r="C63" s="887"/>
      <c r="D63" s="887"/>
      <c r="E63" s="887"/>
      <c r="F63" s="887"/>
      <c r="G63" s="887"/>
      <c r="H63" s="886"/>
      <c r="I63" s="886"/>
      <c r="J63" s="887"/>
      <c r="K63" s="887"/>
      <c r="L63" s="886"/>
      <c r="M63" s="886"/>
      <c r="N63" s="886"/>
      <c r="O63" s="886"/>
    </row>
    <row r="64" spans="1:15" s="852" customFormat="1">
      <c r="A64" s="886"/>
      <c r="B64" s="886"/>
      <c r="C64" s="887"/>
      <c r="D64" s="887"/>
      <c r="E64" s="887"/>
      <c r="F64" s="887"/>
      <c r="G64" s="887"/>
      <c r="H64" s="886"/>
      <c r="I64" s="886"/>
      <c r="J64" s="887"/>
      <c r="K64" s="887"/>
      <c r="L64" s="886"/>
      <c r="M64" s="886"/>
      <c r="N64" s="886"/>
      <c r="O64" s="886"/>
    </row>
    <row r="65" spans="1:15" s="852" customFormat="1">
      <c r="A65" s="886"/>
      <c r="B65" s="886"/>
      <c r="C65" s="887"/>
      <c r="D65" s="887"/>
      <c r="E65" s="887"/>
      <c r="F65" s="887"/>
      <c r="G65" s="887"/>
      <c r="H65" s="886"/>
      <c r="I65" s="886"/>
      <c r="J65" s="887"/>
      <c r="K65" s="887"/>
      <c r="L65" s="886"/>
      <c r="M65" s="886"/>
      <c r="N65" s="886"/>
      <c r="O65" s="886"/>
    </row>
    <row r="66" spans="1:15" s="852" customFormat="1">
      <c r="A66" s="886"/>
      <c r="B66" s="886"/>
      <c r="C66" s="887"/>
      <c r="D66" s="887"/>
      <c r="E66" s="887"/>
      <c r="F66" s="887"/>
      <c r="G66" s="887"/>
      <c r="H66" s="886"/>
      <c r="I66" s="886"/>
      <c r="J66" s="887"/>
      <c r="K66" s="887"/>
      <c r="L66" s="886"/>
      <c r="M66" s="886"/>
      <c r="N66" s="886"/>
      <c r="O66" s="886"/>
    </row>
    <row r="67" spans="1:15" s="852" customFormat="1">
      <c r="A67" s="886"/>
      <c r="B67" s="886"/>
      <c r="C67" s="887"/>
      <c r="D67" s="887"/>
      <c r="E67" s="887"/>
      <c r="F67" s="887"/>
      <c r="G67" s="887"/>
      <c r="H67" s="886"/>
      <c r="I67" s="886"/>
      <c r="J67" s="887"/>
      <c r="K67" s="887"/>
      <c r="L67" s="886"/>
      <c r="M67" s="886"/>
      <c r="N67" s="886"/>
      <c r="O67" s="886"/>
    </row>
    <row r="68" spans="1:15" s="852" customFormat="1">
      <c r="A68" s="886"/>
      <c r="B68" s="886"/>
      <c r="C68" s="887"/>
      <c r="D68" s="887"/>
      <c r="E68" s="887"/>
      <c r="F68" s="887"/>
      <c r="G68" s="887"/>
      <c r="H68" s="886"/>
      <c r="I68" s="886"/>
      <c r="J68" s="887"/>
      <c r="K68" s="887"/>
      <c r="L68" s="886"/>
      <c r="M68" s="886"/>
      <c r="N68" s="886"/>
      <c r="O68" s="886"/>
    </row>
    <row r="69" spans="1:15" s="852" customFormat="1">
      <c r="A69" s="886"/>
      <c r="B69" s="886"/>
      <c r="C69" s="887"/>
      <c r="D69" s="887"/>
      <c r="E69" s="887"/>
      <c r="F69" s="887"/>
      <c r="G69" s="887"/>
      <c r="H69" s="886"/>
      <c r="I69" s="886"/>
      <c r="J69" s="887"/>
      <c r="K69" s="887"/>
      <c r="L69" s="886"/>
      <c r="M69" s="886"/>
      <c r="N69" s="886"/>
      <c r="O69" s="886"/>
    </row>
    <row r="70" spans="1:15" s="852" customFormat="1">
      <c r="A70" s="886"/>
      <c r="B70" s="886"/>
      <c r="C70" s="887"/>
      <c r="D70" s="887"/>
      <c r="E70" s="887"/>
      <c r="F70" s="887"/>
      <c r="G70" s="887"/>
      <c r="H70" s="886"/>
      <c r="I70" s="886"/>
      <c r="J70" s="887"/>
      <c r="K70" s="887"/>
      <c r="L70" s="886"/>
      <c r="M70" s="886"/>
      <c r="N70" s="886"/>
      <c r="O70" s="886"/>
    </row>
    <row r="71" spans="1:15" s="852" customFormat="1">
      <c r="A71" s="886"/>
      <c r="B71" s="886"/>
      <c r="C71" s="887"/>
      <c r="D71" s="887"/>
      <c r="E71" s="887"/>
      <c r="F71" s="887"/>
      <c r="G71" s="887"/>
      <c r="H71" s="886"/>
      <c r="I71" s="886"/>
      <c r="J71" s="887"/>
      <c r="K71" s="887"/>
      <c r="L71" s="886"/>
      <c r="M71" s="886"/>
      <c r="N71" s="886"/>
      <c r="O71" s="886"/>
    </row>
    <row r="72" spans="1:15" s="852" customFormat="1">
      <c r="A72" s="886"/>
      <c r="B72" s="886"/>
      <c r="C72" s="887"/>
      <c r="D72" s="887"/>
      <c r="E72" s="887"/>
      <c r="F72" s="887"/>
      <c r="G72" s="887"/>
      <c r="H72" s="886"/>
      <c r="I72" s="886"/>
      <c r="J72" s="887"/>
      <c r="K72" s="887"/>
      <c r="L72" s="886"/>
      <c r="M72" s="886"/>
      <c r="N72" s="886"/>
      <c r="O72" s="886"/>
    </row>
    <row r="73" spans="1:15" s="852" customFormat="1">
      <c r="A73" s="886"/>
      <c r="B73" s="886"/>
      <c r="C73" s="887"/>
      <c r="D73" s="887"/>
      <c r="E73" s="887"/>
      <c r="F73" s="887"/>
      <c r="G73" s="887"/>
      <c r="H73" s="886"/>
      <c r="I73" s="886"/>
      <c r="J73" s="887"/>
      <c r="K73" s="887"/>
      <c r="L73" s="886"/>
      <c r="M73" s="886"/>
      <c r="N73" s="886"/>
      <c r="O73" s="886"/>
    </row>
    <row r="74" spans="1:15" s="852" customFormat="1">
      <c r="A74" s="886"/>
      <c r="B74" s="886"/>
      <c r="C74" s="887"/>
      <c r="D74" s="887"/>
      <c r="E74" s="887"/>
      <c r="F74" s="887"/>
      <c r="G74" s="887"/>
      <c r="H74" s="886"/>
      <c r="I74" s="886"/>
      <c r="J74" s="887"/>
      <c r="K74" s="887"/>
      <c r="L74" s="886"/>
      <c r="M74" s="886"/>
      <c r="N74" s="886"/>
      <c r="O74" s="886"/>
    </row>
    <row r="75" spans="1:15" s="852" customFormat="1">
      <c r="A75" s="886"/>
      <c r="B75" s="886"/>
      <c r="C75" s="887"/>
      <c r="D75" s="887"/>
      <c r="E75" s="887"/>
      <c r="F75" s="887"/>
      <c r="G75" s="887"/>
      <c r="H75" s="886"/>
      <c r="I75" s="886"/>
      <c r="J75" s="887"/>
      <c r="K75" s="887"/>
      <c r="L75" s="886"/>
      <c r="M75" s="886"/>
      <c r="N75" s="886"/>
      <c r="O75" s="886"/>
    </row>
    <row r="76" spans="1:15" s="852" customFormat="1">
      <c r="A76" s="886"/>
      <c r="B76" s="886"/>
      <c r="C76" s="887"/>
      <c r="D76" s="887"/>
      <c r="E76" s="887"/>
      <c r="F76" s="887"/>
      <c r="G76" s="887"/>
      <c r="H76" s="886"/>
      <c r="I76" s="886"/>
      <c r="J76" s="887"/>
      <c r="K76" s="887"/>
      <c r="L76" s="886"/>
      <c r="M76" s="886"/>
      <c r="N76" s="886"/>
      <c r="O76" s="886"/>
    </row>
    <row r="77" spans="1:15" s="852" customFormat="1">
      <c r="A77" s="886"/>
      <c r="B77" s="886"/>
      <c r="C77" s="887"/>
      <c r="D77" s="887"/>
      <c r="E77" s="887"/>
      <c r="F77" s="887"/>
      <c r="G77" s="887"/>
      <c r="H77" s="886"/>
      <c r="I77" s="886"/>
      <c r="J77" s="887"/>
      <c r="K77" s="887"/>
      <c r="L77" s="886"/>
      <c r="M77" s="886"/>
      <c r="N77" s="886"/>
      <c r="O77" s="886"/>
    </row>
    <row r="78" spans="1:15" s="852" customFormat="1">
      <c r="A78" s="886"/>
      <c r="B78" s="886"/>
      <c r="C78" s="887"/>
      <c r="D78" s="887"/>
      <c r="E78" s="887"/>
      <c r="F78" s="887"/>
      <c r="G78" s="887"/>
      <c r="H78" s="886"/>
      <c r="I78" s="886"/>
      <c r="J78" s="887"/>
      <c r="K78" s="887"/>
      <c r="L78" s="886"/>
      <c r="M78" s="886"/>
      <c r="N78" s="886"/>
      <c r="O78" s="886"/>
    </row>
    <row r="79" spans="1:15" s="852" customFormat="1">
      <c r="A79" s="886"/>
      <c r="B79" s="886"/>
      <c r="C79" s="887"/>
      <c r="D79" s="887"/>
      <c r="E79" s="887"/>
      <c r="F79" s="887"/>
      <c r="G79" s="887"/>
      <c r="H79" s="886"/>
      <c r="I79" s="886"/>
      <c r="J79" s="887"/>
      <c r="K79" s="887"/>
      <c r="L79" s="886"/>
      <c r="M79" s="886"/>
      <c r="N79" s="886"/>
      <c r="O79" s="886"/>
    </row>
    <row r="80" spans="1:15" s="852" customFormat="1">
      <c r="A80" s="886"/>
      <c r="B80" s="886"/>
      <c r="C80" s="887"/>
      <c r="D80" s="887"/>
      <c r="E80" s="887"/>
      <c r="F80" s="887"/>
      <c r="G80" s="887"/>
      <c r="H80" s="886"/>
      <c r="I80" s="886"/>
      <c r="J80" s="887"/>
      <c r="K80" s="887"/>
      <c r="L80" s="886"/>
      <c r="M80" s="886"/>
      <c r="N80" s="886"/>
      <c r="O80" s="886"/>
    </row>
    <row r="81" spans="1:15" s="852" customFormat="1">
      <c r="A81" s="886"/>
      <c r="B81" s="886"/>
      <c r="C81" s="887"/>
      <c r="D81" s="887"/>
      <c r="E81" s="887"/>
      <c r="F81" s="887"/>
      <c r="G81" s="887"/>
      <c r="H81" s="886"/>
      <c r="I81" s="886"/>
      <c r="J81" s="887"/>
      <c r="K81" s="887"/>
      <c r="L81" s="886"/>
      <c r="M81" s="886"/>
      <c r="N81" s="886"/>
      <c r="O81" s="886"/>
    </row>
    <row r="82" spans="1:15" s="852" customFormat="1">
      <c r="A82" s="886"/>
      <c r="B82" s="886"/>
      <c r="C82" s="887"/>
      <c r="D82" s="887"/>
      <c r="E82" s="887"/>
      <c r="F82" s="887"/>
      <c r="G82" s="887"/>
      <c r="H82" s="886"/>
      <c r="I82" s="886"/>
      <c r="J82" s="887"/>
      <c r="K82" s="887"/>
      <c r="L82" s="886"/>
      <c r="M82" s="886"/>
      <c r="N82" s="886"/>
      <c r="O82" s="886"/>
    </row>
    <row r="83" spans="1:15" s="852" customFormat="1">
      <c r="A83" s="886"/>
      <c r="B83" s="886"/>
      <c r="C83" s="887"/>
      <c r="D83" s="887"/>
      <c r="E83" s="887"/>
      <c r="F83" s="887"/>
      <c r="G83" s="887"/>
      <c r="H83" s="886"/>
      <c r="I83" s="886"/>
      <c r="J83" s="887"/>
      <c r="K83" s="887"/>
      <c r="L83" s="886"/>
      <c r="M83" s="886"/>
      <c r="N83" s="886"/>
      <c r="O83" s="886"/>
    </row>
    <row r="84" spans="1:15" s="852" customFormat="1">
      <c r="A84" s="886"/>
      <c r="B84" s="886"/>
      <c r="C84" s="887"/>
      <c r="D84" s="887"/>
      <c r="E84" s="887"/>
      <c r="F84" s="887"/>
      <c r="G84" s="887"/>
      <c r="H84" s="886"/>
      <c r="I84" s="886"/>
      <c r="J84" s="887"/>
      <c r="K84" s="887"/>
      <c r="L84" s="886"/>
      <c r="M84" s="886"/>
      <c r="N84" s="886"/>
      <c r="O84" s="886"/>
    </row>
    <row r="85" spans="1:15" s="852" customFormat="1">
      <c r="A85" s="886"/>
      <c r="B85" s="886"/>
      <c r="C85" s="887"/>
      <c r="D85" s="887"/>
      <c r="E85" s="887"/>
      <c r="F85" s="887"/>
      <c r="G85" s="887"/>
      <c r="H85" s="886"/>
      <c r="I85" s="886"/>
      <c r="J85" s="887"/>
      <c r="K85" s="887"/>
      <c r="L85" s="886"/>
      <c r="M85" s="886"/>
      <c r="N85" s="886"/>
      <c r="O85" s="886"/>
    </row>
    <row r="86" spans="1:15" s="852" customFormat="1">
      <c r="A86" s="886"/>
      <c r="B86" s="886"/>
      <c r="C86" s="887"/>
      <c r="D86" s="887"/>
      <c r="E86" s="887"/>
      <c r="F86" s="887"/>
      <c r="G86" s="887"/>
      <c r="H86" s="886"/>
      <c r="I86" s="886"/>
      <c r="J86" s="887"/>
      <c r="K86" s="887"/>
      <c r="L86" s="886"/>
      <c r="M86" s="886"/>
      <c r="N86" s="886"/>
      <c r="O86" s="886"/>
    </row>
    <row r="87" spans="1:15" s="852" customFormat="1">
      <c r="A87" s="886"/>
      <c r="B87" s="886"/>
      <c r="C87" s="887"/>
      <c r="D87" s="887"/>
      <c r="E87" s="887"/>
      <c r="F87" s="887"/>
      <c r="G87" s="887"/>
      <c r="H87" s="886"/>
      <c r="I87" s="886"/>
      <c r="J87" s="887"/>
      <c r="K87" s="887"/>
      <c r="L87" s="886"/>
      <c r="M87" s="886"/>
      <c r="N87" s="886"/>
      <c r="O87" s="886"/>
    </row>
    <row r="88" spans="1:15" s="852" customFormat="1">
      <c r="A88" s="886"/>
      <c r="B88" s="886"/>
      <c r="C88" s="887"/>
      <c r="D88" s="887"/>
      <c r="E88" s="887"/>
      <c r="F88" s="887"/>
      <c r="G88" s="887"/>
      <c r="H88" s="886"/>
      <c r="I88" s="886"/>
      <c r="J88" s="887"/>
      <c r="K88" s="887"/>
      <c r="L88" s="886"/>
      <c r="M88" s="886"/>
      <c r="N88" s="886"/>
      <c r="O88" s="886"/>
    </row>
    <row r="89" spans="1:15" s="852" customFormat="1">
      <c r="A89" s="886"/>
      <c r="B89" s="886"/>
      <c r="C89" s="887"/>
      <c r="D89" s="887"/>
      <c r="E89" s="887"/>
      <c r="F89" s="887"/>
      <c r="G89" s="887"/>
      <c r="H89" s="886"/>
      <c r="I89" s="886"/>
      <c r="J89" s="887"/>
      <c r="K89" s="887"/>
      <c r="L89" s="886"/>
      <c r="M89" s="886"/>
      <c r="N89" s="886"/>
      <c r="O89" s="886"/>
    </row>
    <row r="90" spans="1:15" s="852" customFormat="1">
      <c r="A90" s="886"/>
      <c r="B90" s="886"/>
      <c r="C90" s="887"/>
      <c r="D90" s="887"/>
      <c r="E90" s="887"/>
      <c r="F90" s="887"/>
      <c r="G90" s="887"/>
      <c r="H90" s="886"/>
      <c r="I90" s="886"/>
      <c r="J90" s="887"/>
      <c r="K90" s="887"/>
      <c r="L90" s="886"/>
      <c r="M90" s="886"/>
      <c r="N90" s="886"/>
      <c r="O90" s="886"/>
    </row>
    <row r="91" spans="1:15" s="852" customFormat="1">
      <c r="A91" s="886"/>
      <c r="B91" s="886"/>
      <c r="C91" s="887"/>
      <c r="D91" s="887"/>
      <c r="E91" s="887"/>
      <c r="F91" s="887"/>
      <c r="G91" s="887"/>
      <c r="H91" s="886"/>
      <c r="I91" s="886"/>
      <c r="J91" s="887"/>
      <c r="K91" s="887"/>
      <c r="L91" s="886"/>
      <c r="M91" s="886"/>
      <c r="N91" s="886"/>
      <c r="O91" s="886"/>
    </row>
    <row r="92" spans="1:15" s="852" customFormat="1">
      <c r="A92" s="886"/>
      <c r="B92" s="886"/>
      <c r="C92" s="887"/>
      <c r="D92" s="887"/>
      <c r="E92" s="887"/>
      <c r="F92" s="887"/>
      <c r="G92" s="887"/>
      <c r="H92" s="886"/>
      <c r="I92" s="886"/>
      <c r="J92" s="887"/>
      <c r="K92" s="887"/>
      <c r="L92" s="886"/>
      <c r="M92" s="886"/>
      <c r="N92" s="886"/>
      <c r="O92" s="886"/>
    </row>
  </sheetData>
  <customSheetViews>
    <customSheetView guid="{BD09DBC2-63A5-4D9C-9B00-4281066E9389}" scale="65" showGridLines="0" outlineSymbols="0" printArea="1">
      <selection activeCell="A8" sqref="A8"/>
      <pageMargins left="0.75" right="0.5" top="1" bottom="0.5" header="0" footer="0.25"/>
      <pageSetup scale="60" firstPageNumber="41" orientation="landscape" useFirstPageNumber="1" r:id="rId1"/>
      <headerFooter alignWithMargins="0">
        <oddFooter>&amp;C&amp;8&amp;P</oddFooter>
      </headerFooter>
    </customSheetView>
    <customSheetView guid="{C82E0A7D-2B5B-48FC-A705-3168E651E04C}" scale="65" showGridLines="0" outlineSymbols="0" printArea="1" topLeftCell="A4">
      <selection activeCell="C54" sqref="C54:C55"/>
      <pageMargins left="0.75" right="0.5" top="1" bottom="0.5" header="0" footer="0.25"/>
      <pageSetup scale="60" orientation="landscape" r:id="rId2"/>
      <headerFooter scaleWithDoc="0" alignWithMargins="0">
        <oddFooter>&amp;C&amp;8 41</oddFooter>
      </headerFooter>
    </customSheetView>
    <customSheetView guid="{A8B05C3B-0E7E-44A3-A097-AF4C5C09F04E}" scale="65" showGridLines="0" outlineSymbols="0" printArea="1">
      <selection activeCell="G24" sqref="G24"/>
      <pageMargins left="0.75" right="0.5" top="1" bottom="0.5" header="0" footer="0.25"/>
      <pageSetup scale="60" orientation="landscape" r:id="rId3"/>
      <headerFooter scaleWithDoc="0" alignWithMargins="0">
        <oddFooter>&amp;C&amp;8 41</oddFooter>
      </headerFooter>
    </customSheetView>
    <customSheetView guid="{8EE6466D-211E-4E05-9F84-CC0A1C6F79F4}" scale="65" showGridLines="0" outlineSymbols="0" topLeftCell="A16">
      <selection activeCell="C54" sqref="C54:C55"/>
      <pageMargins left="0.75" right="0.5" top="1" bottom="0.5" header="0" footer="0.25"/>
      <pageSetup scale="60" orientation="landscape" r:id="rId4"/>
      <headerFooter scaleWithDoc="0" alignWithMargins="0">
        <oddFooter>&amp;C&amp;8 41</oddFooter>
      </headerFooter>
    </customSheetView>
    <customSheetView guid="{4735AAE3-27B4-4549-AAB4-50ACA997F5F5}" scale="65" showGridLines="0" outlineSymbols="0" printArea="1">
      <selection activeCell="K8" sqref="K8"/>
      <pageMargins left="0.75" right="0.5" top="1" bottom="0.5" header="0" footer="0.25"/>
      <pageSetup scale="60" orientation="landscape" r:id="rId5"/>
      <headerFooter scaleWithDoc="0" alignWithMargins="0">
        <oddFooter>&amp;C&amp;8 41</oddFooter>
      </headerFooter>
    </customSheetView>
    <customSheetView guid="{80622567-647A-4891-B8EE-6B9E2C4DAC44}" scale="65" showGridLines="0" outlineSymbols="0" printArea="1" topLeftCell="A7">
      <selection activeCell="K38" sqref="K38"/>
      <pageMargins left="0.75" right="0.5" top="1" bottom="0.5" header="0" footer="0.25"/>
      <pageSetup scale="60" orientation="landscape" r:id="rId6"/>
      <headerFooter scaleWithDoc="0" alignWithMargins="0">
        <oddFooter>&amp;C&amp;8 41</oddFooter>
      </headerFooter>
    </customSheetView>
    <customSheetView guid="{A97EE6C3-4DA8-41BD-BE43-F596EFCB43CA}" scale="65" showGridLines="0" outlineSymbols="0" printArea="1">
      <selection activeCell="K3" sqref="K3"/>
      <pageMargins left="0.75" right="0.5" top="1" bottom="0.5" header="0" footer="0.25"/>
      <pageSetup scale="60" orientation="landscape" r:id="rId7"/>
      <headerFooter scaleWithDoc="0" alignWithMargins="0">
        <oddFooter>&amp;C&amp;8 41</oddFooter>
      </headerFooter>
    </customSheetView>
    <customSheetView guid="{90B76C5A-2FC4-40F0-8436-3E4F075A4887}" scale="70" showGridLines="0" outlineSymbols="0" printArea="1" topLeftCell="A10">
      <selection activeCell="K3" sqref="K3"/>
      <pageMargins left="0.75" right="0.5" top="1" bottom="0.5" header="0" footer="0.25"/>
      <pageSetup scale="60" orientation="landscape" r:id="rId8"/>
      <headerFooter scaleWithDoc="0" alignWithMargins="0">
        <oddFooter>&amp;C&amp;8 41</oddFooter>
      </headerFooter>
    </customSheetView>
  </customSheetViews>
  <pageMargins left="0.75" right="0.5" top="1" bottom="0.5" header="0" footer="0.25"/>
  <pageSetup scale="60" firstPageNumber="41" orientation="landscape" useFirstPageNumber="1" r:id="rId9"/>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59" zoomScaleNormal="70" workbookViewId="0"/>
  </sheetViews>
  <sheetFormatPr defaultColWidth="8.88671875" defaultRowHeight="12.75"/>
  <cols>
    <col min="1" max="1" width="56.109375" style="893" customWidth="1"/>
    <col min="2" max="2" width="5.88671875" style="893" customWidth="1"/>
    <col min="3" max="3" width="9.77734375" style="893" customWidth="1"/>
    <col min="4" max="4" width="19.44140625" style="893" customWidth="1"/>
    <col min="5" max="5" width="1.77734375" style="893" customWidth="1"/>
    <col min="6" max="6" width="16.88671875" style="893" customWidth="1"/>
    <col min="7" max="7" width="2.33203125" style="893" customWidth="1"/>
    <col min="8" max="8" width="16.88671875" style="893" customWidth="1"/>
    <col min="9" max="9" width="1.6640625" style="893" customWidth="1"/>
    <col min="10" max="10" width="20.77734375" style="893" customWidth="1"/>
    <col min="11" max="11" width="2.109375" style="893" customWidth="1"/>
    <col min="12" max="12" width="22.44140625" style="893" customWidth="1"/>
    <col min="13" max="13" width="2.44140625" style="893" customWidth="1"/>
    <col min="14" max="14" width="10.77734375" style="893" bestFit="1" customWidth="1"/>
    <col min="15" max="15" width="12.5546875" style="893" bestFit="1" customWidth="1"/>
    <col min="16" max="16384" width="8.88671875" style="893"/>
  </cols>
  <sheetData>
    <row r="1" spans="1:256" ht="15">
      <c r="A1" s="1227" t="s">
        <v>1322</v>
      </c>
    </row>
    <row r="2" spans="1:256" ht="18" customHeight="1"/>
    <row r="3" spans="1:256" ht="18">
      <c r="A3" s="894" t="s">
        <v>0</v>
      </c>
      <c r="B3" s="895"/>
      <c r="C3" s="895"/>
      <c r="D3" s="896"/>
      <c r="E3" s="896"/>
      <c r="F3" s="895"/>
      <c r="G3" s="895" t="s">
        <v>16</v>
      </c>
      <c r="H3" s="895"/>
      <c r="I3" s="895"/>
      <c r="J3" s="895"/>
      <c r="K3" s="895"/>
      <c r="L3" s="897" t="s">
        <v>390</v>
      </c>
      <c r="M3" s="896"/>
      <c r="N3" s="898"/>
      <c r="O3" s="898"/>
      <c r="P3" s="898"/>
      <c r="Q3" s="898"/>
      <c r="R3" s="898"/>
      <c r="S3" s="898"/>
      <c r="T3" s="898"/>
      <c r="U3" s="898"/>
      <c r="V3" s="898"/>
      <c r="W3" s="898"/>
      <c r="X3" s="898"/>
      <c r="Y3" s="898"/>
      <c r="Z3" s="898"/>
      <c r="AA3" s="898"/>
      <c r="AB3" s="898"/>
      <c r="AC3" s="898"/>
      <c r="AD3" s="898"/>
      <c r="AE3" s="898"/>
      <c r="AF3" s="898"/>
      <c r="AG3" s="898"/>
      <c r="AH3" s="898"/>
      <c r="AI3" s="898"/>
      <c r="AJ3" s="898"/>
      <c r="AK3" s="898"/>
      <c r="AL3" s="898"/>
      <c r="AM3" s="898"/>
      <c r="AN3" s="898"/>
      <c r="AO3" s="898"/>
      <c r="AP3" s="898"/>
      <c r="AQ3" s="898"/>
      <c r="AR3" s="898"/>
      <c r="AS3" s="898"/>
      <c r="AT3" s="898"/>
      <c r="AU3" s="898"/>
      <c r="AV3" s="898"/>
      <c r="AW3" s="898"/>
      <c r="AX3" s="898"/>
      <c r="AY3" s="898"/>
      <c r="AZ3" s="898"/>
      <c r="BA3" s="898"/>
      <c r="BB3" s="898"/>
      <c r="BC3" s="898"/>
      <c r="BD3" s="898"/>
      <c r="BE3" s="898"/>
      <c r="BF3" s="898"/>
      <c r="BG3" s="898"/>
      <c r="BH3" s="898"/>
      <c r="BI3" s="898"/>
      <c r="BJ3" s="898"/>
      <c r="BK3" s="898"/>
      <c r="BL3" s="898"/>
      <c r="BM3" s="898"/>
      <c r="BN3" s="898"/>
      <c r="BO3" s="898"/>
      <c r="BP3" s="898"/>
      <c r="BQ3" s="898"/>
      <c r="BR3" s="898"/>
      <c r="BS3" s="898"/>
      <c r="BT3" s="898"/>
      <c r="BU3" s="898"/>
      <c r="BV3" s="898"/>
      <c r="BW3" s="898"/>
      <c r="BX3" s="898"/>
      <c r="BY3" s="898"/>
      <c r="BZ3" s="898"/>
      <c r="CA3" s="898"/>
      <c r="CB3" s="898"/>
      <c r="CC3" s="898"/>
      <c r="CD3" s="898"/>
      <c r="CE3" s="898"/>
      <c r="CF3" s="898"/>
      <c r="CG3" s="898"/>
      <c r="CH3" s="898"/>
      <c r="CI3" s="898"/>
      <c r="CJ3" s="898"/>
      <c r="CK3" s="898"/>
      <c r="CL3" s="898"/>
      <c r="CM3" s="898"/>
      <c r="CN3" s="898"/>
      <c r="CO3" s="898"/>
      <c r="CP3" s="898"/>
      <c r="CQ3" s="898"/>
      <c r="CR3" s="898"/>
      <c r="CS3" s="898"/>
      <c r="CT3" s="898"/>
      <c r="CU3" s="898"/>
      <c r="CV3" s="898"/>
      <c r="CW3" s="898"/>
      <c r="CX3" s="898"/>
      <c r="CY3" s="898"/>
      <c r="CZ3" s="898"/>
      <c r="DA3" s="898"/>
      <c r="DB3" s="898"/>
      <c r="DC3" s="898"/>
      <c r="DD3" s="898"/>
      <c r="DE3" s="898"/>
      <c r="DF3" s="898"/>
      <c r="DG3" s="898"/>
      <c r="DH3" s="898"/>
      <c r="DI3" s="898"/>
      <c r="DJ3" s="898"/>
      <c r="DK3" s="898"/>
      <c r="DL3" s="898"/>
      <c r="DM3" s="898"/>
      <c r="DN3" s="898"/>
      <c r="DO3" s="898"/>
      <c r="DP3" s="898"/>
      <c r="DQ3" s="898"/>
      <c r="DR3" s="898"/>
      <c r="DS3" s="898"/>
      <c r="DT3" s="898"/>
      <c r="DU3" s="898"/>
      <c r="DV3" s="898"/>
      <c r="DW3" s="898"/>
      <c r="DX3" s="898"/>
      <c r="DY3" s="898"/>
      <c r="DZ3" s="898"/>
      <c r="EA3" s="898"/>
      <c r="EB3" s="898"/>
      <c r="EC3" s="898"/>
      <c r="ED3" s="898"/>
      <c r="EE3" s="898"/>
      <c r="EF3" s="898"/>
      <c r="EG3" s="898"/>
      <c r="EH3" s="898"/>
      <c r="EI3" s="898"/>
      <c r="EJ3" s="898"/>
      <c r="EK3" s="898"/>
      <c r="EL3" s="898"/>
      <c r="EM3" s="898"/>
      <c r="EN3" s="898"/>
      <c r="EO3" s="898"/>
      <c r="EP3" s="898"/>
      <c r="EQ3" s="898"/>
      <c r="ER3" s="898"/>
      <c r="ES3" s="898"/>
      <c r="ET3" s="898"/>
      <c r="EU3" s="898"/>
      <c r="EV3" s="898"/>
      <c r="EW3" s="898"/>
      <c r="EX3" s="898"/>
      <c r="EY3" s="898"/>
      <c r="EZ3" s="898"/>
      <c r="FA3" s="898"/>
      <c r="FB3" s="898"/>
      <c r="FC3" s="898"/>
      <c r="FD3" s="898"/>
      <c r="FE3" s="898"/>
      <c r="FF3" s="898"/>
      <c r="FG3" s="898"/>
      <c r="FH3" s="898"/>
      <c r="FI3" s="898"/>
      <c r="FJ3" s="898"/>
      <c r="FK3" s="898"/>
      <c r="FL3" s="898"/>
      <c r="FM3" s="898"/>
      <c r="FN3" s="898"/>
      <c r="FO3" s="898"/>
      <c r="FP3" s="898"/>
      <c r="FQ3" s="898"/>
      <c r="FR3" s="898"/>
      <c r="FS3" s="898"/>
      <c r="FT3" s="898"/>
      <c r="FU3" s="898"/>
      <c r="FV3" s="898"/>
      <c r="FW3" s="898"/>
      <c r="FX3" s="898"/>
      <c r="FY3" s="898"/>
      <c r="FZ3" s="898"/>
      <c r="GA3" s="898"/>
      <c r="GB3" s="898"/>
      <c r="GC3" s="898"/>
      <c r="GD3" s="898"/>
      <c r="GE3" s="898"/>
      <c r="GF3" s="898"/>
      <c r="GG3" s="898"/>
      <c r="GH3" s="898"/>
      <c r="GI3" s="898"/>
      <c r="GJ3" s="898"/>
      <c r="GK3" s="898"/>
      <c r="GL3" s="898"/>
      <c r="GM3" s="898"/>
      <c r="GN3" s="898"/>
      <c r="GO3" s="898"/>
      <c r="GP3" s="898"/>
      <c r="GQ3" s="898"/>
      <c r="GR3" s="898"/>
      <c r="GS3" s="898"/>
      <c r="GT3" s="898"/>
      <c r="GU3" s="898"/>
      <c r="GV3" s="898"/>
      <c r="GW3" s="898"/>
      <c r="GX3" s="898"/>
      <c r="GY3" s="898"/>
      <c r="GZ3" s="898"/>
      <c r="HA3" s="898"/>
      <c r="HB3" s="898"/>
      <c r="HC3" s="898"/>
      <c r="HD3" s="898"/>
      <c r="HE3" s="898"/>
      <c r="HF3" s="898"/>
      <c r="HG3" s="898"/>
      <c r="HH3" s="898"/>
      <c r="HI3" s="898"/>
      <c r="HJ3" s="898"/>
      <c r="HK3" s="898"/>
      <c r="HL3" s="898"/>
      <c r="HM3" s="898"/>
      <c r="HN3" s="898"/>
      <c r="HO3" s="898"/>
      <c r="HP3" s="898"/>
      <c r="HQ3" s="898"/>
      <c r="HR3" s="898"/>
      <c r="HS3" s="898"/>
      <c r="HT3" s="898"/>
      <c r="HU3" s="898"/>
      <c r="HV3" s="898"/>
      <c r="HW3" s="898"/>
      <c r="HX3" s="898"/>
      <c r="HY3" s="898"/>
      <c r="HZ3" s="898"/>
      <c r="IA3" s="898"/>
      <c r="IB3" s="898"/>
      <c r="IC3" s="898"/>
      <c r="ID3" s="898"/>
      <c r="IE3" s="898"/>
      <c r="IF3" s="898"/>
      <c r="IG3" s="898"/>
      <c r="IH3" s="898"/>
      <c r="II3" s="898"/>
      <c r="IJ3" s="898"/>
      <c r="IK3" s="898"/>
      <c r="IL3" s="898"/>
      <c r="IM3" s="898"/>
      <c r="IN3" s="898"/>
      <c r="IO3" s="898"/>
      <c r="IP3" s="898"/>
      <c r="IQ3" s="898"/>
      <c r="IR3" s="898"/>
      <c r="IS3" s="898"/>
      <c r="IT3" s="898"/>
      <c r="IU3" s="898"/>
      <c r="IV3" s="898"/>
    </row>
    <row r="4" spans="1:256" ht="18">
      <c r="A4" s="894" t="s">
        <v>391</v>
      </c>
      <c r="B4" s="895"/>
      <c r="C4" s="895"/>
      <c r="D4" s="896"/>
      <c r="E4" s="896"/>
      <c r="F4" s="895"/>
      <c r="G4" s="895"/>
      <c r="H4" s="895"/>
      <c r="I4" s="895"/>
      <c r="J4" s="895"/>
      <c r="K4" s="895"/>
      <c r="L4" s="899"/>
      <c r="M4" s="896"/>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898"/>
      <c r="BB4" s="898"/>
      <c r="BC4" s="898"/>
      <c r="BD4" s="898"/>
      <c r="BE4" s="898"/>
      <c r="BF4" s="898"/>
      <c r="BG4" s="898"/>
      <c r="BH4" s="898"/>
      <c r="BI4" s="898"/>
      <c r="BJ4" s="898"/>
      <c r="BK4" s="898"/>
      <c r="BL4" s="898"/>
      <c r="BM4" s="898"/>
      <c r="BN4" s="898"/>
      <c r="BO4" s="898"/>
      <c r="BP4" s="898"/>
      <c r="BQ4" s="898"/>
      <c r="BR4" s="898"/>
      <c r="BS4" s="898"/>
      <c r="BT4" s="898"/>
      <c r="BU4" s="898"/>
      <c r="BV4" s="898"/>
      <c r="BW4" s="898"/>
      <c r="BX4" s="898"/>
      <c r="BY4" s="898"/>
      <c r="BZ4" s="898"/>
      <c r="CA4" s="898"/>
      <c r="CB4" s="898"/>
      <c r="CC4" s="898"/>
      <c r="CD4" s="898"/>
      <c r="CE4" s="898"/>
      <c r="CF4" s="898"/>
      <c r="CG4" s="898"/>
      <c r="CH4" s="898"/>
      <c r="CI4" s="898"/>
      <c r="CJ4" s="898"/>
      <c r="CK4" s="898"/>
      <c r="CL4" s="898"/>
      <c r="CM4" s="898"/>
      <c r="CN4" s="898"/>
      <c r="CO4" s="898"/>
      <c r="CP4" s="898"/>
      <c r="CQ4" s="898"/>
      <c r="CR4" s="898"/>
      <c r="CS4" s="898"/>
      <c r="CT4" s="898"/>
      <c r="CU4" s="898"/>
      <c r="CV4" s="898"/>
      <c r="CW4" s="898"/>
      <c r="CX4" s="898"/>
      <c r="CY4" s="898"/>
      <c r="CZ4" s="898"/>
      <c r="DA4" s="898"/>
      <c r="DB4" s="898"/>
      <c r="DC4" s="898"/>
      <c r="DD4" s="898"/>
      <c r="DE4" s="898"/>
      <c r="DF4" s="898"/>
      <c r="DG4" s="898"/>
      <c r="DH4" s="898"/>
      <c r="DI4" s="898"/>
      <c r="DJ4" s="898"/>
      <c r="DK4" s="898"/>
      <c r="DL4" s="898"/>
      <c r="DM4" s="898"/>
      <c r="DN4" s="898"/>
      <c r="DO4" s="898"/>
      <c r="DP4" s="898"/>
      <c r="DQ4" s="898"/>
      <c r="DR4" s="898"/>
      <c r="DS4" s="898"/>
      <c r="DT4" s="898"/>
      <c r="DU4" s="898"/>
      <c r="DV4" s="898"/>
      <c r="DW4" s="898"/>
      <c r="DX4" s="898"/>
      <c r="DY4" s="898"/>
      <c r="DZ4" s="898"/>
      <c r="EA4" s="898"/>
      <c r="EB4" s="898"/>
      <c r="EC4" s="898"/>
      <c r="ED4" s="898"/>
      <c r="EE4" s="898"/>
      <c r="EF4" s="898"/>
      <c r="EG4" s="898"/>
      <c r="EH4" s="898"/>
      <c r="EI4" s="898"/>
      <c r="EJ4" s="898"/>
      <c r="EK4" s="898"/>
      <c r="EL4" s="898"/>
      <c r="EM4" s="898"/>
      <c r="EN4" s="898"/>
      <c r="EO4" s="898"/>
      <c r="EP4" s="898"/>
      <c r="EQ4" s="898"/>
      <c r="ER4" s="898"/>
      <c r="ES4" s="898"/>
      <c r="ET4" s="898"/>
      <c r="EU4" s="898"/>
      <c r="EV4" s="898"/>
      <c r="EW4" s="898"/>
      <c r="EX4" s="898"/>
      <c r="EY4" s="898"/>
      <c r="EZ4" s="898"/>
      <c r="FA4" s="898"/>
      <c r="FB4" s="898"/>
      <c r="FC4" s="898"/>
      <c r="FD4" s="898"/>
      <c r="FE4" s="898"/>
      <c r="FF4" s="898"/>
      <c r="FG4" s="898"/>
      <c r="FH4" s="898"/>
      <c r="FI4" s="898"/>
      <c r="FJ4" s="898"/>
      <c r="FK4" s="898"/>
      <c r="FL4" s="898"/>
      <c r="FM4" s="898"/>
      <c r="FN4" s="898"/>
      <c r="FO4" s="898"/>
      <c r="FP4" s="898"/>
      <c r="FQ4" s="898"/>
      <c r="FR4" s="898"/>
      <c r="FS4" s="898"/>
      <c r="FT4" s="898"/>
      <c r="FU4" s="898"/>
      <c r="FV4" s="898"/>
      <c r="FW4" s="898"/>
      <c r="FX4" s="898"/>
      <c r="FY4" s="898"/>
      <c r="FZ4" s="898"/>
      <c r="GA4" s="898"/>
      <c r="GB4" s="898"/>
      <c r="GC4" s="898"/>
      <c r="GD4" s="898"/>
      <c r="GE4" s="898"/>
      <c r="GF4" s="898"/>
      <c r="GG4" s="898"/>
      <c r="GH4" s="898"/>
      <c r="GI4" s="898"/>
      <c r="GJ4" s="898"/>
      <c r="GK4" s="898"/>
      <c r="GL4" s="898"/>
      <c r="GM4" s="898"/>
      <c r="GN4" s="898"/>
      <c r="GO4" s="898"/>
      <c r="GP4" s="898"/>
      <c r="GQ4" s="898"/>
      <c r="GR4" s="898"/>
      <c r="GS4" s="898"/>
      <c r="GT4" s="898"/>
      <c r="GU4" s="898"/>
      <c r="GV4" s="898"/>
      <c r="GW4" s="898"/>
      <c r="GX4" s="898"/>
      <c r="GY4" s="898"/>
      <c r="GZ4" s="898"/>
      <c r="HA4" s="898"/>
      <c r="HB4" s="898"/>
      <c r="HC4" s="898"/>
      <c r="HD4" s="898"/>
      <c r="HE4" s="898"/>
      <c r="HF4" s="898"/>
      <c r="HG4" s="898"/>
      <c r="HH4" s="898"/>
      <c r="HI4" s="898"/>
      <c r="HJ4" s="898"/>
      <c r="HK4" s="898"/>
      <c r="HL4" s="898"/>
      <c r="HM4" s="898"/>
      <c r="HN4" s="898"/>
      <c r="HO4" s="898"/>
      <c r="HP4" s="898"/>
      <c r="HQ4" s="898"/>
      <c r="HR4" s="898"/>
      <c r="HS4" s="898"/>
      <c r="HT4" s="898"/>
      <c r="HU4" s="898"/>
      <c r="HV4" s="898"/>
      <c r="HW4" s="898"/>
      <c r="HX4" s="898"/>
      <c r="HY4" s="898"/>
      <c r="HZ4" s="898"/>
      <c r="IA4" s="898"/>
      <c r="IB4" s="898"/>
      <c r="IC4" s="898"/>
      <c r="ID4" s="898"/>
      <c r="IE4" s="898"/>
      <c r="IF4" s="898"/>
      <c r="IG4" s="898"/>
      <c r="IH4" s="898"/>
      <c r="II4" s="898"/>
      <c r="IJ4" s="898"/>
      <c r="IK4" s="898"/>
      <c r="IL4" s="898"/>
      <c r="IM4" s="898"/>
      <c r="IN4" s="898"/>
      <c r="IO4" s="898"/>
      <c r="IP4" s="898"/>
      <c r="IQ4" s="898"/>
      <c r="IR4" s="898"/>
      <c r="IS4" s="898"/>
      <c r="IT4" s="898"/>
      <c r="IU4" s="898"/>
      <c r="IV4" s="898"/>
    </row>
    <row r="5" spans="1:256" ht="18">
      <c r="A5" s="900" t="s">
        <v>392</v>
      </c>
      <c r="B5" s="895"/>
      <c r="C5" s="895"/>
      <c r="D5" s="896"/>
      <c r="E5" s="896"/>
      <c r="F5" s="895"/>
      <c r="G5" s="895"/>
      <c r="H5" s="895"/>
      <c r="I5" s="895"/>
      <c r="J5" s="895"/>
      <c r="K5" s="895"/>
      <c r="L5" s="895"/>
      <c r="M5" s="896"/>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8"/>
      <c r="AO5" s="898"/>
      <c r="AP5" s="898"/>
      <c r="AQ5" s="898"/>
      <c r="AR5" s="898"/>
      <c r="AS5" s="898"/>
      <c r="AT5" s="898"/>
      <c r="AU5" s="898"/>
      <c r="AV5" s="898"/>
      <c r="AW5" s="898"/>
      <c r="AX5" s="898"/>
      <c r="AY5" s="898"/>
      <c r="AZ5" s="898"/>
      <c r="BA5" s="898"/>
      <c r="BB5" s="898"/>
      <c r="BC5" s="898"/>
      <c r="BD5" s="898"/>
      <c r="BE5" s="898"/>
      <c r="BF5" s="898"/>
      <c r="BG5" s="898"/>
      <c r="BH5" s="898"/>
      <c r="BI5" s="898"/>
      <c r="BJ5" s="898"/>
      <c r="BK5" s="898"/>
      <c r="BL5" s="898"/>
      <c r="BM5" s="898"/>
      <c r="BN5" s="898"/>
      <c r="BO5" s="898"/>
      <c r="BP5" s="898"/>
      <c r="BQ5" s="898"/>
      <c r="BR5" s="898"/>
      <c r="BS5" s="898"/>
      <c r="BT5" s="898"/>
      <c r="BU5" s="898"/>
      <c r="BV5" s="898"/>
      <c r="BW5" s="898"/>
      <c r="BX5" s="898"/>
      <c r="BY5" s="898"/>
      <c r="BZ5" s="898"/>
      <c r="CA5" s="898"/>
      <c r="CB5" s="898"/>
      <c r="CC5" s="898"/>
      <c r="CD5" s="898"/>
      <c r="CE5" s="898"/>
      <c r="CF5" s="898"/>
      <c r="CG5" s="898"/>
      <c r="CH5" s="898"/>
      <c r="CI5" s="898"/>
      <c r="CJ5" s="898"/>
      <c r="CK5" s="898"/>
      <c r="CL5" s="898"/>
      <c r="CM5" s="898"/>
      <c r="CN5" s="898"/>
      <c r="CO5" s="898"/>
      <c r="CP5" s="898"/>
      <c r="CQ5" s="898"/>
      <c r="CR5" s="898"/>
      <c r="CS5" s="898"/>
      <c r="CT5" s="898"/>
      <c r="CU5" s="898"/>
      <c r="CV5" s="898"/>
      <c r="CW5" s="898"/>
      <c r="CX5" s="898"/>
      <c r="CY5" s="898"/>
      <c r="CZ5" s="898"/>
      <c r="DA5" s="898"/>
      <c r="DB5" s="898"/>
      <c r="DC5" s="898"/>
      <c r="DD5" s="898"/>
      <c r="DE5" s="898"/>
      <c r="DF5" s="898"/>
      <c r="DG5" s="898"/>
      <c r="DH5" s="898"/>
      <c r="DI5" s="898"/>
      <c r="DJ5" s="898"/>
      <c r="DK5" s="898"/>
      <c r="DL5" s="898"/>
      <c r="DM5" s="898"/>
      <c r="DN5" s="898"/>
      <c r="DO5" s="898"/>
      <c r="DP5" s="898"/>
      <c r="DQ5" s="898"/>
      <c r="DR5" s="898"/>
      <c r="DS5" s="898"/>
      <c r="DT5" s="898"/>
      <c r="DU5" s="898"/>
      <c r="DV5" s="898"/>
      <c r="DW5" s="898"/>
      <c r="DX5" s="898"/>
      <c r="DY5" s="898"/>
      <c r="DZ5" s="898"/>
      <c r="EA5" s="898"/>
      <c r="EB5" s="898"/>
      <c r="EC5" s="898"/>
      <c r="ED5" s="898"/>
      <c r="EE5" s="898"/>
      <c r="EF5" s="898"/>
      <c r="EG5" s="898"/>
      <c r="EH5" s="898"/>
      <c r="EI5" s="898"/>
      <c r="EJ5" s="898"/>
      <c r="EK5" s="898"/>
      <c r="EL5" s="898"/>
      <c r="EM5" s="898"/>
      <c r="EN5" s="898"/>
      <c r="EO5" s="898"/>
      <c r="EP5" s="898"/>
      <c r="EQ5" s="898"/>
      <c r="ER5" s="898"/>
      <c r="ES5" s="898"/>
      <c r="ET5" s="898"/>
      <c r="EU5" s="898"/>
      <c r="EV5" s="898"/>
      <c r="EW5" s="898"/>
      <c r="EX5" s="898"/>
      <c r="EY5" s="898"/>
      <c r="EZ5" s="898"/>
      <c r="FA5" s="898"/>
      <c r="FB5" s="898"/>
      <c r="FC5" s="898"/>
      <c r="FD5" s="898"/>
      <c r="FE5" s="898"/>
      <c r="FF5" s="898"/>
      <c r="FG5" s="898"/>
      <c r="FH5" s="898"/>
      <c r="FI5" s="898"/>
      <c r="FJ5" s="898"/>
      <c r="FK5" s="898"/>
      <c r="FL5" s="898"/>
      <c r="FM5" s="898"/>
      <c r="FN5" s="898"/>
      <c r="FO5" s="898"/>
      <c r="FP5" s="898"/>
      <c r="FQ5" s="898"/>
      <c r="FR5" s="898"/>
      <c r="FS5" s="898"/>
      <c r="FT5" s="898"/>
      <c r="FU5" s="898"/>
      <c r="FV5" s="898"/>
      <c r="FW5" s="898"/>
      <c r="FX5" s="898"/>
      <c r="FY5" s="898"/>
      <c r="FZ5" s="898"/>
      <c r="GA5" s="898"/>
      <c r="GB5" s="898"/>
      <c r="GC5" s="898"/>
      <c r="GD5" s="898"/>
      <c r="GE5" s="898"/>
      <c r="GF5" s="898"/>
      <c r="GG5" s="898"/>
      <c r="GH5" s="898"/>
      <c r="GI5" s="898"/>
      <c r="GJ5" s="898"/>
      <c r="GK5" s="898"/>
      <c r="GL5" s="898"/>
      <c r="GM5" s="898"/>
      <c r="GN5" s="898"/>
      <c r="GO5" s="898"/>
      <c r="GP5" s="898"/>
      <c r="GQ5" s="898"/>
      <c r="GR5" s="898"/>
      <c r="GS5" s="898"/>
      <c r="GT5" s="898"/>
      <c r="GU5" s="898"/>
      <c r="GV5" s="898"/>
      <c r="GW5" s="898"/>
      <c r="GX5" s="898"/>
      <c r="GY5" s="898"/>
      <c r="GZ5" s="898"/>
      <c r="HA5" s="898"/>
      <c r="HB5" s="898"/>
      <c r="HC5" s="898"/>
      <c r="HD5" s="898"/>
      <c r="HE5" s="898"/>
      <c r="HF5" s="898"/>
      <c r="HG5" s="898"/>
      <c r="HH5" s="898"/>
      <c r="HI5" s="898"/>
      <c r="HJ5" s="898"/>
      <c r="HK5" s="898"/>
      <c r="HL5" s="898"/>
      <c r="HM5" s="898"/>
      <c r="HN5" s="898"/>
      <c r="HO5" s="898"/>
      <c r="HP5" s="898"/>
      <c r="HQ5" s="898"/>
      <c r="HR5" s="898"/>
      <c r="HS5" s="898"/>
      <c r="HT5" s="898"/>
      <c r="HU5" s="898"/>
      <c r="HV5" s="898"/>
      <c r="HW5" s="898"/>
      <c r="HX5" s="898"/>
      <c r="HY5" s="898"/>
      <c r="HZ5" s="898"/>
      <c r="IA5" s="898"/>
      <c r="IB5" s="898"/>
      <c r="IC5" s="898"/>
      <c r="ID5" s="898"/>
      <c r="IE5" s="898"/>
      <c r="IF5" s="898"/>
      <c r="IG5" s="898"/>
      <c r="IH5" s="898"/>
      <c r="II5" s="898"/>
      <c r="IJ5" s="898"/>
      <c r="IK5" s="898"/>
      <c r="IL5" s="898"/>
      <c r="IM5" s="898"/>
      <c r="IN5" s="898"/>
      <c r="IO5" s="898"/>
      <c r="IP5" s="898"/>
      <c r="IQ5" s="898"/>
      <c r="IR5" s="898"/>
      <c r="IS5" s="898"/>
      <c r="IT5" s="898"/>
      <c r="IU5" s="898"/>
      <c r="IV5" s="898"/>
    </row>
    <row r="6" spans="1:256" ht="18">
      <c r="A6" s="900" t="s">
        <v>1639</v>
      </c>
      <c r="B6" s="895"/>
      <c r="C6" s="895"/>
      <c r="D6" s="896"/>
      <c r="E6" s="896"/>
      <c r="F6" s="895"/>
      <c r="G6" s="895"/>
      <c r="H6" s="895"/>
      <c r="I6" s="895"/>
      <c r="J6" s="895"/>
      <c r="K6" s="895"/>
      <c r="L6" s="895"/>
      <c r="M6" s="896"/>
      <c r="N6" s="898"/>
      <c r="O6" s="898"/>
      <c r="P6" s="898"/>
      <c r="Q6" s="898"/>
      <c r="R6" s="898"/>
      <c r="S6" s="898"/>
      <c r="T6" s="898"/>
      <c r="U6" s="898"/>
      <c r="V6" s="898"/>
      <c r="W6" s="898"/>
      <c r="X6" s="898"/>
      <c r="Y6" s="898"/>
      <c r="Z6" s="898"/>
      <c r="AA6" s="898"/>
      <c r="AB6" s="898"/>
      <c r="AC6" s="898"/>
      <c r="AD6" s="898"/>
      <c r="AE6" s="898"/>
      <c r="AF6" s="898"/>
      <c r="AG6" s="898"/>
      <c r="AH6" s="898"/>
      <c r="AI6" s="898"/>
      <c r="AJ6" s="898"/>
      <c r="AK6" s="898"/>
      <c r="AL6" s="898"/>
      <c r="AM6" s="898"/>
      <c r="AN6" s="898"/>
      <c r="AO6" s="898"/>
      <c r="AP6" s="898"/>
      <c r="AQ6" s="898"/>
      <c r="AR6" s="898"/>
      <c r="AS6" s="898"/>
      <c r="AT6" s="898"/>
      <c r="AU6" s="898"/>
      <c r="AV6" s="898"/>
      <c r="AW6" s="898"/>
      <c r="AX6" s="898"/>
      <c r="AY6" s="898"/>
      <c r="AZ6" s="898"/>
      <c r="BA6" s="898"/>
      <c r="BB6" s="898"/>
      <c r="BC6" s="898"/>
      <c r="BD6" s="898"/>
      <c r="BE6" s="898"/>
      <c r="BF6" s="898"/>
      <c r="BG6" s="898"/>
      <c r="BH6" s="898"/>
      <c r="BI6" s="898"/>
      <c r="BJ6" s="898"/>
      <c r="BK6" s="898"/>
      <c r="BL6" s="898"/>
      <c r="BM6" s="898"/>
      <c r="BN6" s="898"/>
      <c r="BO6" s="898"/>
      <c r="BP6" s="898"/>
      <c r="BQ6" s="898"/>
      <c r="BR6" s="898"/>
      <c r="BS6" s="898"/>
      <c r="BT6" s="898"/>
      <c r="BU6" s="898"/>
      <c r="BV6" s="898"/>
      <c r="BW6" s="898"/>
      <c r="BX6" s="898"/>
      <c r="BY6" s="898"/>
      <c r="BZ6" s="898"/>
      <c r="CA6" s="898"/>
      <c r="CB6" s="898"/>
      <c r="CC6" s="898"/>
      <c r="CD6" s="898"/>
      <c r="CE6" s="898"/>
      <c r="CF6" s="898"/>
      <c r="CG6" s="898"/>
      <c r="CH6" s="898"/>
      <c r="CI6" s="898"/>
      <c r="CJ6" s="898"/>
      <c r="CK6" s="898"/>
      <c r="CL6" s="898"/>
      <c r="CM6" s="898"/>
      <c r="CN6" s="898"/>
      <c r="CO6" s="898"/>
      <c r="CP6" s="898"/>
      <c r="CQ6" s="898"/>
      <c r="CR6" s="898"/>
      <c r="CS6" s="898"/>
      <c r="CT6" s="898"/>
      <c r="CU6" s="898"/>
      <c r="CV6" s="898"/>
      <c r="CW6" s="898"/>
      <c r="CX6" s="898"/>
      <c r="CY6" s="898"/>
      <c r="CZ6" s="898"/>
      <c r="DA6" s="898"/>
      <c r="DB6" s="898"/>
      <c r="DC6" s="898"/>
      <c r="DD6" s="898"/>
      <c r="DE6" s="898"/>
      <c r="DF6" s="898"/>
      <c r="DG6" s="898"/>
      <c r="DH6" s="898"/>
      <c r="DI6" s="898"/>
      <c r="DJ6" s="898"/>
      <c r="DK6" s="898"/>
      <c r="DL6" s="898"/>
      <c r="DM6" s="898"/>
      <c r="DN6" s="898"/>
      <c r="DO6" s="898"/>
      <c r="DP6" s="898"/>
      <c r="DQ6" s="898"/>
      <c r="DR6" s="898"/>
      <c r="DS6" s="898"/>
      <c r="DT6" s="898"/>
      <c r="DU6" s="898"/>
      <c r="DV6" s="898"/>
      <c r="DW6" s="898"/>
      <c r="DX6" s="898"/>
      <c r="DY6" s="898"/>
      <c r="DZ6" s="898"/>
      <c r="EA6" s="898"/>
      <c r="EB6" s="898"/>
      <c r="EC6" s="898"/>
      <c r="ED6" s="898"/>
      <c r="EE6" s="898"/>
      <c r="EF6" s="898"/>
      <c r="EG6" s="898"/>
      <c r="EH6" s="898"/>
      <c r="EI6" s="898"/>
      <c r="EJ6" s="898"/>
      <c r="EK6" s="898"/>
      <c r="EL6" s="898"/>
      <c r="EM6" s="898"/>
      <c r="EN6" s="898"/>
      <c r="EO6" s="898"/>
      <c r="EP6" s="898"/>
      <c r="EQ6" s="898"/>
      <c r="ER6" s="898"/>
      <c r="ES6" s="898"/>
      <c r="ET6" s="898"/>
      <c r="EU6" s="898"/>
      <c r="EV6" s="898"/>
      <c r="EW6" s="898"/>
      <c r="EX6" s="898"/>
      <c r="EY6" s="898"/>
      <c r="EZ6" s="898"/>
      <c r="FA6" s="898"/>
      <c r="FB6" s="898"/>
      <c r="FC6" s="898"/>
      <c r="FD6" s="898"/>
      <c r="FE6" s="898"/>
      <c r="FF6" s="898"/>
      <c r="FG6" s="898"/>
      <c r="FH6" s="898"/>
      <c r="FI6" s="898"/>
      <c r="FJ6" s="898"/>
      <c r="FK6" s="898"/>
      <c r="FL6" s="898"/>
      <c r="FM6" s="898"/>
      <c r="FN6" s="898"/>
      <c r="FO6" s="898"/>
      <c r="FP6" s="898"/>
      <c r="FQ6" s="898"/>
      <c r="FR6" s="898"/>
      <c r="FS6" s="898"/>
      <c r="FT6" s="898"/>
      <c r="FU6" s="898"/>
      <c r="FV6" s="898"/>
      <c r="FW6" s="898"/>
      <c r="FX6" s="898"/>
      <c r="FY6" s="898"/>
      <c r="FZ6" s="898"/>
      <c r="GA6" s="898"/>
      <c r="GB6" s="898"/>
      <c r="GC6" s="898"/>
      <c r="GD6" s="898"/>
      <c r="GE6" s="898"/>
      <c r="GF6" s="898"/>
      <c r="GG6" s="898"/>
      <c r="GH6" s="898"/>
      <c r="GI6" s="898"/>
      <c r="GJ6" s="898"/>
      <c r="GK6" s="898"/>
      <c r="GL6" s="898"/>
      <c r="GM6" s="898"/>
      <c r="GN6" s="898"/>
      <c r="GO6" s="898"/>
      <c r="GP6" s="898"/>
      <c r="GQ6" s="898"/>
      <c r="GR6" s="898"/>
      <c r="GS6" s="898"/>
      <c r="GT6" s="898"/>
      <c r="GU6" s="898"/>
      <c r="GV6" s="898"/>
      <c r="GW6" s="898"/>
      <c r="GX6" s="898"/>
      <c r="GY6" s="898"/>
      <c r="GZ6" s="898"/>
      <c r="HA6" s="898"/>
      <c r="HB6" s="898"/>
      <c r="HC6" s="898"/>
      <c r="HD6" s="898"/>
      <c r="HE6" s="898"/>
      <c r="HF6" s="898"/>
      <c r="HG6" s="898"/>
      <c r="HH6" s="898"/>
      <c r="HI6" s="898"/>
      <c r="HJ6" s="898"/>
      <c r="HK6" s="898"/>
      <c r="HL6" s="898"/>
      <c r="HM6" s="898"/>
      <c r="HN6" s="898"/>
      <c r="HO6" s="898"/>
      <c r="HP6" s="898"/>
      <c r="HQ6" s="898"/>
      <c r="HR6" s="898"/>
      <c r="HS6" s="898"/>
      <c r="HT6" s="898"/>
      <c r="HU6" s="898"/>
      <c r="HV6" s="898"/>
      <c r="HW6" s="898"/>
      <c r="HX6" s="898"/>
      <c r="HY6" s="898"/>
      <c r="HZ6" s="898"/>
      <c r="IA6" s="898"/>
      <c r="IB6" s="898"/>
      <c r="IC6" s="898"/>
      <c r="ID6" s="898"/>
      <c r="IE6" s="898"/>
      <c r="IF6" s="898"/>
      <c r="IG6" s="898"/>
      <c r="IH6" s="898"/>
      <c r="II6" s="898"/>
      <c r="IJ6" s="898"/>
      <c r="IK6" s="898"/>
      <c r="IL6" s="898"/>
      <c r="IM6" s="898"/>
      <c r="IN6" s="898"/>
      <c r="IO6" s="898"/>
      <c r="IP6" s="898"/>
      <c r="IQ6" s="898"/>
      <c r="IR6" s="898"/>
      <c r="IS6" s="898"/>
      <c r="IT6" s="898"/>
      <c r="IU6" s="898"/>
      <c r="IV6" s="898"/>
    </row>
    <row r="7" spans="1:256" ht="18">
      <c r="A7" s="1773" t="s">
        <v>1198</v>
      </c>
      <c r="B7" s="895"/>
      <c r="C7" s="895"/>
      <c r="D7" s="896"/>
      <c r="E7" s="896"/>
      <c r="F7" s="895"/>
      <c r="G7" s="895"/>
      <c r="H7" s="895"/>
      <c r="I7" s="895"/>
      <c r="J7" s="895"/>
      <c r="K7" s="895"/>
      <c r="L7" s="895"/>
      <c r="M7" s="896"/>
      <c r="N7" s="898"/>
      <c r="O7" s="898"/>
      <c r="P7" s="898"/>
      <c r="Q7" s="898"/>
      <c r="R7" s="898"/>
      <c r="S7" s="898"/>
      <c r="T7" s="898"/>
      <c r="U7" s="898"/>
      <c r="V7" s="898"/>
      <c r="W7" s="898"/>
      <c r="X7" s="898"/>
      <c r="Y7" s="898"/>
      <c r="Z7" s="898"/>
      <c r="AA7" s="898"/>
      <c r="AB7" s="898"/>
      <c r="AC7" s="898"/>
      <c r="AD7" s="898"/>
      <c r="AE7" s="898"/>
      <c r="AF7" s="898"/>
      <c r="AG7" s="898"/>
      <c r="AH7" s="898"/>
      <c r="AI7" s="898"/>
      <c r="AJ7" s="898"/>
      <c r="AK7" s="898"/>
      <c r="AL7" s="898"/>
      <c r="AM7" s="898"/>
      <c r="AN7" s="898"/>
      <c r="AO7" s="898"/>
      <c r="AP7" s="898"/>
      <c r="AQ7" s="898"/>
      <c r="AR7" s="898"/>
      <c r="AS7" s="898"/>
      <c r="AT7" s="898"/>
      <c r="AU7" s="898"/>
      <c r="AV7" s="898"/>
      <c r="AW7" s="898"/>
      <c r="AX7" s="898"/>
      <c r="AY7" s="898"/>
      <c r="AZ7" s="898"/>
      <c r="BA7" s="898"/>
      <c r="BB7" s="898"/>
      <c r="BC7" s="898"/>
      <c r="BD7" s="898"/>
      <c r="BE7" s="898"/>
      <c r="BF7" s="898"/>
      <c r="BG7" s="898"/>
      <c r="BH7" s="898"/>
      <c r="BI7" s="898"/>
      <c r="BJ7" s="898"/>
      <c r="BK7" s="898"/>
      <c r="BL7" s="898"/>
      <c r="BM7" s="898"/>
      <c r="BN7" s="898"/>
      <c r="BO7" s="898"/>
      <c r="BP7" s="898"/>
      <c r="BQ7" s="898"/>
      <c r="BR7" s="898"/>
      <c r="BS7" s="898"/>
      <c r="BT7" s="898"/>
      <c r="BU7" s="898"/>
      <c r="BV7" s="898"/>
      <c r="BW7" s="898"/>
      <c r="BX7" s="898"/>
      <c r="BY7" s="898"/>
      <c r="BZ7" s="898"/>
      <c r="CA7" s="898"/>
      <c r="CB7" s="898"/>
      <c r="CC7" s="898"/>
      <c r="CD7" s="898"/>
      <c r="CE7" s="898"/>
      <c r="CF7" s="898"/>
      <c r="CG7" s="898"/>
      <c r="CH7" s="898"/>
      <c r="CI7" s="898"/>
      <c r="CJ7" s="898"/>
      <c r="CK7" s="898"/>
      <c r="CL7" s="898"/>
      <c r="CM7" s="898"/>
      <c r="CN7" s="898"/>
      <c r="CO7" s="898"/>
      <c r="CP7" s="898"/>
      <c r="CQ7" s="898"/>
      <c r="CR7" s="898"/>
      <c r="CS7" s="898"/>
      <c r="CT7" s="898"/>
      <c r="CU7" s="898"/>
      <c r="CV7" s="898"/>
      <c r="CW7" s="898"/>
      <c r="CX7" s="898"/>
      <c r="CY7" s="898"/>
      <c r="CZ7" s="898"/>
      <c r="DA7" s="898"/>
      <c r="DB7" s="898"/>
      <c r="DC7" s="898"/>
      <c r="DD7" s="898"/>
      <c r="DE7" s="898"/>
      <c r="DF7" s="898"/>
      <c r="DG7" s="898"/>
      <c r="DH7" s="898"/>
      <c r="DI7" s="898"/>
      <c r="DJ7" s="898"/>
      <c r="DK7" s="898"/>
      <c r="DL7" s="898"/>
      <c r="DM7" s="898"/>
      <c r="DN7" s="898"/>
      <c r="DO7" s="898"/>
      <c r="DP7" s="898"/>
      <c r="DQ7" s="898"/>
      <c r="DR7" s="898"/>
      <c r="DS7" s="898"/>
      <c r="DT7" s="898"/>
      <c r="DU7" s="898"/>
      <c r="DV7" s="898"/>
      <c r="DW7" s="898"/>
      <c r="DX7" s="898"/>
      <c r="DY7" s="898"/>
      <c r="DZ7" s="898"/>
      <c r="EA7" s="898"/>
      <c r="EB7" s="898"/>
      <c r="EC7" s="898"/>
      <c r="ED7" s="898"/>
      <c r="EE7" s="898"/>
      <c r="EF7" s="898"/>
      <c r="EG7" s="898"/>
      <c r="EH7" s="898"/>
      <c r="EI7" s="898"/>
      <c r="EJ7" s="898"/>
      <c r="EK7" s="898"/>
      <c r="EL7" s="898"/>
      <c r="EM7" s="898"/>
      <c r="EN7" s="898"/>
      <c r="EO7" s="898"/>
      <c r="EP7" s="898"/>
      <c r="EQ7" s="898"/>
      <c r="ER7" s="898"/>
      <c r="ES7" s="898"/>
      <c r="ET7" s="898"/>
      <c r="EU7" s="898"/>
      <c r="EV7" s="898"/>
      <c r="EW7" s="898"/>
      <c r="EX7" s="898"/>
      <c r="EY7" s="898"/>
      <c r="EZ7" s="898"/>
      <c r="FA7" s="898"/>
      <c r="FB7" s="898"/>
      <c r="FC7" s="898"/>
      <c r="FD7" s="898"/>
      <c r="FE7" s="898"/>
      <c r="FF7" s="898"/>
      <c r="FG7" s="898"/>
      <c r="FH7" s="898"/>
      <c r="FI7" s="898"/>
      <c r="FJ7" s="898"/>
      <c r="FK7" s="898"/>
      <c r="FL7" s="898"/>
      <c r="FM7" s="898"/>
      <c r="FN7" s="898"/>
      <c r="FO7" s="898"/>
      <c r="FP7" s="898"/>
      <c r="FQ7" s="898"/>
      <c r="FR7" s="898"/>
      <c r="FS7" s="898"/>
      <c r="FT7" s="898"/>
      <c r="FU7" s="898"/>
      <c r="FV7" s="898"/>
      <c r="FW7" s="898"/>
      <c r="FX7" s="898"/>
      <c r="FY7" s="898"/>
      <c r="FZ7" s="898"/>
      <c r="GA7" s="898"/>
      <c r="GB7" s="898"/>
      <c r="GC7" s="898"/>
      <c r="GD7" s="898"/>
      <c r="GE7" s="898"/>
      <c r="GF7" s="898"/>
      <c r="GG7" s="898"/>
      <c r="GH7" s="898"/>
      <c r="GI7" s="898"/>
      <c r="GJ7" s="898"/>
      <c r="GK7" s="898"/>
      <c r="GL7" s="898"/>
      <c r="GM7" s="898"/>
      <c r="GN7" s="898"/>
      <c r="GO7" s="898"/>
      <c r="GP7" s="898"/>
      <c r="GQ7" s="898"/>
      <c r="GR7" s="898"/>
      <c r="GS7" s="898"/>
      <c r="GT7" s="898"/>
      <c r="GU7" s="898"/>
      <c r="GV7" s="898"/>
      <c r="GW7" s="898"/>
      <c r="GX7" s="898"/>
      <c r="GY7" s="898"/>
      <c r="GZ7" s="898"/>
      <c r="HA7" s="898"/>
      <c r="HB7" s="898"/>
      <c r="HC7" s="898"/>
      <c r="HD7" s="898"/>
      <c r="HE7" s="898"/>
      <c r="HF7" s="898"/>
      <c r="HG7" s="898"/>
      <c r="HH7" s="898"/>
      <c r="HI7" s="898"/>
      <c r="HJ7" s="898"/>
      <c r="HK7" s="898"/>
      <c r="HL7" s="898"/>
      <c r="HM7" s="898"/>
      <c r="HN7" s="898"/>
      <c r="HO7" s="898"/>
      <c r="HP7" s="898"/>
      <c r="HQ7" s="898"/>
      <c r="HR7" s="898"/>
      <c r="HS7" s="898"/>
      <c r="HT7" s="898"/>
      <c r="HU7" s="898"/>
      <c r="HV7" s="898"/>
      <c r="HW7" s="898"/>
      <c r="HX7" s="898"/>
      <c r="HY7" s="898"/>
      <c r="HZ7" s="898"/>
      <c r="IA7" s="898"/>
      <c r="IB7" s="898"/>
      <c r="IC7" s="898"/>
      <c r="ID7" s="898"/>
      <c r="IE7" s="898"/>
      <c r="IF7" s="898"/>
      <c r="IG7" s="898"/>
      <c r="IH7" s="898"/>
      <c r="II7" s="898"/>
      <c r="IJ7" s="898"/>
      <c r="IK7" s="898"/>
      <c r="IL7" s="898"/>
      <c r="IM7" s="898"/>
      <c r="IN7" s="898"/>
      <c r="IO7" s="898"/>
      <c r="IP7" s="898"/>
      <c r="IQ7" s="898"/>
      <c r="IR7" s="898"/>
      <c r="IS7" s="898"/>
      <c r="IT7" s="898"/>
      <c r="IU7" s="898"/>
      <c r="IV7" s="898"/>
    </row>
    <row r="8" spans="1:256" ht="18">
      <c r="A8" s="894"/>
      <c r="B8" s="894"/>
      <c r="C8" s="894"/>
      <c r="D8" s="1413"/>
      <c r="E8" s="894"/>
      <c r="F8" s="894"/>
      <c r="G8" s="894"/>
      <c r="H8" s="894"/>
      <c r="I8" s="894"/>
      <c r="J8" s="1413" t="s">
        <v>374</v>
      </c>
      <c r="K8" s="894"/>
      <c r="L8" s="1413"/>
      <c r="M8" s="896"/>
      <c r="N8" s="898"/>
      <c r="O8" s="898"/>
      <c r="P8" s="898"/>
      <c r="Q8" s="898"/>
      <c r="R8" s="898"/>
      <c r="S8" s="898"/>
      <c r="T8" s="898"/>
      <c r="U8" s="898"/>
      <c r="V8" s="898"/>
      <c r="W8" s="898"/>
      <c r="X8" s="898"/>
      <c r="Y8" s="898"/>
      <c r="Z8" s="898"/>
      <c r="AA8" s="898"/>
      <c r="AB8" s="898"/>
      <c r="AC8" s="898"/>
      <c r="AD8" s="898"/>
      <c r="AE8" s="898"/>
      <c r="AF8" s="898"/>
      <c r="AG8" s="898"/>
      <c r="AH8" s="898"/>
      <c r="AI8" s="898"/>
      <c r="AJ8" s="898"/>
      <c r="AK8" s="898"/>
      <c r="AL8" s="898"/>
      <c r="AM8" s="898"/>
      <c r="AN8" s="898"/>
      <c r="AO8" s="898"/>
      <c r="AP8" s="898"/>
      <c r="AQ8" s="898"/>
      <c r="AR8" s="898"/>
      <c r="AS8" s="898"/>
      <c r="AT8" s="898"/>
      <c r="AU8" s="898"/>
      <c r="AV8" s="898"/>
      <c r="AW8" s="898"/>
      <c r="AX8" s="898"/>
      <c r="AY8" s="898"/>
      <c r="AZ8" s="898"/>
      <c r="BA8" s="898"/>
      <c r="BB8" s="898"/>
      <c r="BC8" s="898"/>
      <c r="BD8" s="898"/>
      <c r="BE8" s="898"/>
      <c r="BF8" s="898"/>
      <c r="BG8" s="898"/>
      <c r="BH8" s="898"/>
      <c r="BI8" s="898"/>
      <c r="BJ8" s="898"/>
      <c r="BK8" s="898"/>
      <c r="BL8" s="898"/>
      <c r="BM8" s="898"/>
      <c r="BN8" s="898"/>
      <c r="BO8" s="898"/>
      <c r="BP8" s="898"/>
      <c r="BQ8" s="898"/>
      <c r="BR8" s="898"/>
      <c r="BS8" s="898"/>
      <c r="BT8" s="898"/>
      <c r="BU8" s="898"/>
      <c r="BV8" s="898"/>
      <c r="BW8" s="898"/>
      <c r="BX8" s="898"/>
      <c r="BY8" s="898"/>
      <c r="BZ8" s="898"/>
      <c r="CA8" s="898"/>
      <c r="CB8" s="898"/>
      <c r="CC8" s="898"/>
      <c r="CD8" s="898"/>
      <c r="CE8" s="898"/>
      <c r="CF8" s="898"/>
      <c r="CG8" s="898"/>
      <c r="CH8" s="898"/>
      <c r="CI8" s="898"/>
      <c r="CJ8" s="898"/>
      <c r="CK8" s="898"/>
      <c r="CL8" s="898"/>
      <c r="CM8" s="898"/>
      <c r="CN8" s="898"/>
      <c r="CO8" s="898"/>
      <c r="CP8" s="898"/>
      <c r="CQ8" s="898"/>
      <c r="CR8" s="898"/>
      <c r="CS8" s="898"/>
      <c r="CT8" s="898"/>
      <c r="CU8" s="898"/>
      <c r="CV8" s="898"/>
      <c r="CW8" s="898"/>
      <c r="CX8" s="898"/>
      <c r="CY8" s="898"/>
      <c r="CZ8" s="898"/>
      <c r="DA8" s="898"/>
      <c r="DB8" s="898"/>
      <c r="DC8" s="898"/>
      <c r="DD8" s="898"/>
      <c r="DE8" s="898"/>
      <c r="DF8" s="898"/>
      <c r="DG8" s="898"/>
      <c r="DH8" s="898"/>
      <c r="DI8" s="898"/>
      <c r="DJ8" s="898"/>
      <c r="DK8" s="898"/>
      <c r="DL8" s="898"/>
      <c r="DM8" s="898"/>
      <c r="DN8" s="898"/>
      <c r="DO8" s="898"/>
      <c r="DP8" s="898"/>
      <c r="DQ8" s="898"/>
      <c r="DR8" s="898"/>
      <c r="DS8" s="898"/>
      <c r="DT8" s="898"/>
      <c r="DU8" s="898"/>
      <c r="DV8" s="898"/>
      <c r="DW8" s="898"/>
      <c r="DX8" s="898"/>
      <c r="DY8" s="898"/>
      <c r="DZ8" s="898"/>
      <c r="EA8" s="898"/>
      <c r="EB8" s="898"/>
      <c r="EC8" s="898"/>
      <c r="ED8" s="898"/>
      <c r="EE8" s="898"/>
      <c r="EF8" s="898"/>
      <c r="EG8" s="898"/>
      <c r="EH8" s="898"/>
      <c r="EI8" s="898"/>
      <c r="EJ8" s="898"/>
      <c r="EK8" s="898"/>
      <c r="EL8" s="898"/>
      <c r="EM8" s="898"/>
      <c r="EN8" s="898"/>
      <c r="EO8" s="898"/>
      <c r="EP8" s="898"/>
      <c r="EQ8" s="898"/>
      <c r="ER8" s="898"/>
      <c r="ES8" s="898"/>
      <c r="ET8" s="898"/>
      <c r="EU8" s="898"/>
      <c r="EV8" s="898"/>
      <c r="EW8" s="898"/>
      <c r="EX8" s="898"/>
      <c r="EY8" s="898"/>
      <c r="EZ8" s="898"/>
      <c r="FA8" s="898"/>
      <c r="FB8" s="898"/>
      <c r="FC8" s="898"/>
      <c r="FD8" s="898"/>
      <c r="FE8" s="898"/>
      <c r="FF8" s="898"/>
      <c r="FG8" s="898"/>
      <c r="FH8" s="898"/>
      <c r="FI8" s="898"/>
      <c r="FJ8" s="898"/>
      <c r="FK8" s="898"/>
      <c r="FL8" s="898"/>
      <c r="FM8" s="898"/>
      <c r="FN8" s="898"/>
      <c r="FO8" s="898"/>
      <c r="FP8" s="898"/>
      <c r="FQ8" s="898"/>
      <c r="FR8" s="898"/>
      <c r="FS8" s="898"/>
      <c r="FT8" s="898"/>
      <c r="FU8" s="898"/>
      <c r="FV8" s="898"/>
      <c r="FW8" s="898"/>
      <c r="FX8" s="898"/>
      <c r="FY8" s="898"/>
      <c r="FZ8" s="898"/>
      <c r="GA8" s="898"/>
      <c r="GB8" s="898"/>
      <c r="GC8" s="898"/>
      <c r="GD8" s="898"/>
      <c r="GE8" s="898"/>
      <c r="GF8" s="898"/>
      <c r="GG8" s="898"/>
      <c r="GH8" s="898"/>
      <c r="GI8" s="898"/>
      <c r="GJ8" s="898"/>
      <c r="GK8" s="898"/>
      <c r="GL8" s="898"/>
      <c r="GM8" s="898"/>
      <c r="GN8" s="898"/>
      <c r="GO8" s="898"/>
      <c r="GP8" s="898"/>
      <c r="GQ8" s="898"/>
      <c r="GR8" s="898"/>
      <c r="GS8" s="898"/>
      <c r="GT8" s="898"/>
      <c r="GU8" s="898"/>
      <c r="GV8" s="898"/>
      <c r="GW8" s="898"/>
      <c r="GX8" s="898"/>
      <c r="GY8" s="898"/>
      <c r="GZ8" s="898"/>
      <c r="HA8" s="898"/>
      <c r="HB8" s="898"/>
      <c r="HC8" s="898"/>
      <c r="HD8" s="898"/>
      <c r="HE8" s="898"/>
      <c r="HF8" s="898"/>
      <c r="HG8" s="898"/>
      <c r="HH8" s="898"/>
      <c r="HI8" s="898"/>
      <c r="HJ8" s="898"/>
      <c r="HK8" s="898"/>
      <c r="HL8" s="898"/>
      <c r="HM8" s="898"/>
      <c r="HN8" s="898"/>
      <c r="HO8" s="898"/>
      <c r="HP8" s="898"/>
      <c r="HQ8" s="898"/>
      <c r="HR8" s="898"/>
      <c r="HS8" s="898"/>
      <c r="HT8" s="898"/>
      <c r="HU8" s="898"/>
      <c r="HV8" s="898"/>
      <c r="HW8" s="898"/>
      <c r="HX8" s="898"/>
      <c r="HY8" s="898"/>
      <c r="HZ8" s="898"/>
      <c r="IA8" s="898"/>
      <c r="IB8" s="898"/>
      <c r="IC8" s="898"/>
      <c r="ID8" s="898"/>
      <c r="IE8" s="898"/>
      <c r="IF8" s="898"/>
      <c r="IG8" s="898"/>
      <c r="IH8" s="898"/>
      <c r="II8" s="898"/>
      <c r="IJ8" s="898"/>
      <c r="IK8" s="898"/>
      <c r="IL8" s="898"/>
      <c r="IM8" s="898"/>
      <c r="IN8" s="898"/>
      <c r="IO8" s="898"/>
      <c r="IP8" s="898"/>
      <c r="IQ8" s="898"/>
      <c r="IR8" s="898"/>
      <c r="IS8" s="898"/>
      <c r="IT8" s="898"/>
      <c r="IU8" s="898"/>
      <c r="IV8" s="898"/>
    </row>
    <row r="9" spans="1:256" ht="18">
      <c r="A9" s="894"/>
      <c r="B9" s="894"/>
      <c r="C9" s="894"/>
      <c r="D9" s="1413" t="s">
        <v>248</v>
      </c>
      <c r="E9" s="894"/>
      <c r="F9" s="894"/>
      <c r="G9" s="894"/>
      <c r="H9" s="894"/>
      <c r="I9" s="894"/>
      <c r="J9" s="1413" t="s">
        <v>375</v>
      </c>
      <c r="K9" s="894"/>
      <c r="L9" s="1413" t="s">
        <v>248</v>
      </c>
      <c r="M9" s="896"/>
      <c r="N9" s="898"/>
      <c r="O9" s="898"/>
      <c r="P9" s="898"/>
      <c r="Q9" s="898"/>
      <c r="R9" s="898"/>
      <c r="S9" s="898"/>
      <c r="T9" s="898"/>
      <c r="U9" s="898"/>
      <c r="V9" s="898"/>
      <c r="W9" s="898"/>
      <c r="X9" s="898"/>
      <c r="Y9" s="898"/>
      <c r="Z9" s="898"/>
      <c r="AA9" s="898"/>
      <c r="AB9" s="898"/>
      <c r="AC9" s="898"/>
      <c r="AD9" s="898"/>
      <c r="AE9" s="898"/>
      <c r="AF9" s="898"/>
      <c r="AG9" s="898"/>
      <c r="AH9" s="898"/>
      <c r="AI9" s="898"/>
      <c r="AJ9" s="898"/>
      <c r="AK9" s="898"/>
      <c r="AL9" s="898"/>
      <c r="AM9" s="898"/>
      <c r="AN9" s="898"/>
      <c r="AO9" s="898"/>
      <c r="AP9" s="898"/>
      <c r="AQ9" s="898"/>
      <c r="AR9" s="898"/>
      <c r="AS9" s="898"/>
      <c r="AT9" s="898"/>
      <c r="AU9" s="898"/>
      <c r="AV9" s="898"/>
      <c r="AW9" s="898"/>
      <c r="AX9" s="898"/>
      <c r="AY9" s="898"/>
      <c r="AZ9" s="898"/>
      <c r="BA9" s="898"/>
      <c r="BB9" s="898"/>
      <c r="BC9" s="898"/>
      <c r="BD9" s="898"/>
      <c r="BE9" s="898"/>
      <c r="BF9" s="898"/>
      <c r="BG9" s="898"/>
      <c r="BH9" s="898"/>
      <c r="BI9" s="898"/>
      <c r="BJ9" s="898"/>
      <c r="BK9" s="898"/>
      <c r="BL9" s="898"/>
      <c r="BM9" s="898"/>
      <c r="BN9" s="898"/>
      <c r="BO9" s="898"/>
      <c r="BP9" s="898"/>
      <c r="BQ9" s="898"/>
      <c r="BR9" s="898"/>
      <c r="BS9" s="898"/>
      <c r="BT9" s="898"/>
      <c r="BU9" s="898"/>
      <c r="BV9" s="898"/>
      <c r="BW9" s="898"/>
      <c r="BX9" s="898"/>
      <c r="BY9" s="898"/>
      <c r="BZ9" s="898"/>
      <c r="CA9" s="898"/>
      <c r="CB9" s="898"/>
      <c r="CC9" s="898"/>
      <c r="CD9" s="898"/>
      <c r="CE9" s="898"/>
      <c r="CF9" s="898"/>
      <c r="CG9" s="898"/>
      <c r="CH9" s="898"/>
      <c r="CI9" s="898"/>
      <c r="CJ9" s="898"/>
      <c r="CK9" s="898"/>
      <c r="CL9" s="898"/>
      <c r="CM9" s="898"/>
      <c r="CN9" s="898"/>
      <c r="CO9" s="898"/>
      <c r="CP9" s="898"/>
      <c r="CQ9" s="898"/>
      <c r="CR9" s="898"/>
      <c r="CS9" s="898"/>
      <c r="CT9" s="898"/>
      <c r="CU9" s="898"/>
      <c r="CV9" s="898"/>
      <c r="CW9" s="898"/>
      <c r="CX9" s="898"/>
      <c r="CY9" s="898"/>
      <c r="CZ9" s="898"/>
      <c r="DA9" s="898"/>
      <c r="DB9" s="898"/>
      <c r="DC9" s="898"/>
      <c r="DD9" s="898"/>
      <c r="DE9" s="898"/>
      <c r="DF9" s="898"/>
      <c r="DG9" s="898"/>
      <c r="DH9" s="898"/>
      <c r="DI9" s="898"/>
      <c r="DJ9" s="898"/>
      <c r="DK9" s="898"/>
      <c r="DL9" s="898"/>
      <c r="DM9" s="898"/>
      <c r="DN9" s="898"/>
      <c r="DO9" s="898"/>
      <c r="DP9" s="898"/>
      <c r="DQ9" s="898"/>
      <c r="DR9" s="898"/>
      <c r="DS9" s="898"/>
      <c r="DT9" s="898"/>
      <c r="DU9" s="898"/>
      <c r="DV9" s="898"/>
      <c r="DW9" s="898"/>
      <c r="DX9" s="898"/>
      <c r="DY9" s="898"/>
      <c r="DZ9" s="898"/>
      <c r="EA9" s="898"/>
      <c r="EB9" s="898"/>
      <c r="EC9" s="898"/>
      <c r="ED9" s="898"/>
      <c r="EE9" s="898"/>
      <c r="EF9" s="898"/>
      <c r="EG9" s="898"/>
      <c r="EH9" s="898"/>
      <c r="EI9" s="898"/>
      <c r="EJ9" s="898"/>
      <c r="EK9" s="898"/>
      <c r="EL9" s="898"/>
      <c r="EM9" s="898"/>
      <c r="EN9" s="898"/>
      <c r="EO9" s="898"/>
      <c r="EP9" s="898"/>
      <c r="EQ9" s="898"/>
      <c r="ER9" s="898"/>
      <c r="ES9" s="898"/>
      <c r="ET9" s="898"/>
      <c r="EU9" s="898"/>
      <c r="EV9" s="898"/>
      <c r="EW9" s="898"/>
      <c r="EX9" s="898"/>
      <c r="EY9" s="898"/>
      <c r="EZ9" s="898"/>
      <c r="FA9" s="898"/>
      <c r="FB9" s="898"/>
      <c r="FC9" s="898"/>
      <c r="FD9" s="898"/>
      <c r="FE9" s="898"/>
      <c r="FF9" s="898"/>
      <c r="FG9" s="898"/>
      <c r="FH9" s="898"/>
      <c r="FI9" s="898"/>
      <c r="FJ9" s="898"/>
      <c r="FK9" s="898"/>
      <c r="FL9" s="898"/>
      <c r="FM9" s="898"/>
      <c r="FN9" s="898"/>
      <c r="FO9" s="898"/>
      <c r="FP9" s="898"/>
      <c r="FQ9" s="898"/>
      <c r="FR9" s="898"/>
      <c r="FS9" s="898"/>
      <c r="FT9" s="898"/>
      <c r="FU9" s="898"/>
      <c r="FV9" s="898"/>
      <c r="FW9" s="898"/>
      <c r="FX9" s="898"/>
      <c r="FY9" s="898"/>
      <c r="FZ9" s="898"/>
      <c r="GA9" s="898"/>
      <c r="GB9" s="898"/>
      <c r="GC9" s="898"/>
      <c r="GD9" s="898"/>
      <c r="GE9" s="898"/>
      <c r="GF9" s="898"/>
      <c r="GG9" s="898"/>
      <c r="GH9" s="898"/>
      <c r="GI9" s="898"/>
      <c r="GJ9" s="898"/>
      <c r="GK9" s="898"/>
      <c r="GL9" s="898"/>
      <c r="GM9" s="898"/>
      <c r="GN9" s="898"/>
      <c r="GO9" s="898"/>
      <c r="GP9" s="898"/>
      <c r="GQ9" s="898"/>
      <c r="GR9" s="898"/>
      <c r="GS9" s="898"/>
      <c r="GT9" s="898"/>
      <c r="GU9" s="898"/>
      <c r="GV9" s="898"/>
      <c r="GW9" s="898"/>
      <c r="GX9" s="898"/>
      <c r="GY9" s="898"/>
      <c r="GZ9" s="898"/>
      <c r="HA9" s="898"/>
      <c r="HB9" s="898"/>
      <c r="HC9" s="898"/>
      <c r="HD9" s="898"/>
      <c r="HE9" s="898"/>
      <c r="HF9" s="898"/>
      <c r="HG9" s="898"/>
      <c r="HH9" s="898"/>
      <c r="HI9" s="898"/>
      <c r="HJ9" s="898"/>
      <c r="HK9" s="898"/>
      <c r="HL9" s="898"/>
      <c r="HM9" s="898"/>
      <c r="HN9" s="898"/>
      <c r="HO9" s="898"/>
      <c r="HP9" s="898"/>
      <c r="HQ9" s="898"/>
      <c r="HR9" s="898"/>
      <c r="HS9" s="898"/>
      <c r="HT9" s="898"/>
      <c r="HU9" s="898"/>
      <c r="HV9" s="898"/>
      <c r="HW9" s="898"/>
      <c r="HX9" s="898"/>
      <c r="HY9" s="898"/>
      <c r="HZ9" s="898"/>
      <c r="IA9" s="898"/>
      <c r="IB9" s="898"/>
      <c r="IC9" s="898"/>
      <c r="ID9" s="898"/>
      <c r="IE9" s="898"/>
      <c r="IF9" s="898"/>
      <c r="IG9" s="898"/>
      <c r="IH9" s="898"/>
      <c r="II9" s="898"/>
      <c r="IJ9" s="898"/>
      <c r="IK9" s="898"/>
      <c r="IL9" s="898"/>
      <c r="IM9" s="898"/>
      <c r="IN9" s="898"/>
      <c r="IO9" s="898"/>
      <c r="IP9" s="898"/>
      <c r="IQ9" s="898"/>
      <c r="IR9" s="898"/>
      <c r="IS9" s="898"/>
      <c r="IT9" s="898"/>
      <c r="IU9" s="898"/>
      <c r="IV9" s="898"/>
    </row>
    <row r="10" spans="1:256" ht="18">
      <c r="A10" s="914" t="s">
        <v>376</v>
      </c>
      <c r="B10" s="894"/>
      <c r="C10" s="894"/>
      <c r="D10" s="2009" t="s">
        <v>1640</v>
      </c>
      <c r="E10" s="894"/>
      <c r="F10" s="1413" t="s">
        <v>250</v>
      </c>
      <c r="G10" s="894"/>
      <c r="H10" s="1413" t="s">
        <v>251</v>
      </c>
      <c r="I10" s="894"/>
      <c r="J10" s="1413" t="s">
        <v>252</v>
      </c>
      <c r="K10" s="894"/>
      <c r="L10" s="2009" t="s">
        <v>1641</v>
      </c>
      <c r="M10" s="896"/>
      <c r="N10" s="898"/>
      <c r="O10" s="898"/>
      <c r="P10" s="898"/>
      <c r="Q10" s="898"/>
      <c r="R10" s="898"/>
      <c r="S10" s="898"/>
      <c r="T10" s="898"/>
      <c r="U10" s="898"/>
      <c r="V10" s="898"/>
      <c r="W10" s="898"/>
      <c r="X10" s="898"/>
      <c r="Y10" s="898"/>
      <c r="Z10" s="898"/>
      <c r="AA10" s="898"/>
      <c r="AB10" s="898"/>
      <c r="AC10" s="898"/>
      <c r="AD10" s="898"/>
      <c r="AE10" s="898"/>
      <c r="AF10" s="898"/>
      <c r="AG10" s="898"/>
      <c r="AH10" s="898"/>
      <c r="AI10" s="898"/>
      <c r="AJ10" s="898"/>
      <c r="AK10" s="898"/>
      <c r="AL10" s="898"/>
      <c r="AM10" s="898"/>
      <c r="AN10" s="898"/>
      <c r="AO10" s="898"/>
      <c r="AP10" s="898"/>
      <c r="AQ10" s="898"/>
      <c r="AR10" s="898"/>
      <c r="AS10" s="898"/>
      <c r="AT10" s="898"/>
      <c r="AU10" s="898"/>
      <c r="AV10" s="898"/>
      <c r="AW10" s="898"/>
      <c r="AX10" s="898"/>
      <c r="AY10" s="898"/>
      <c r="AZ10" s="898"/>
      <c r="BA10" s="898"/>
      <c r="BB10" s="898"/>
      <c r="BC10" s="898"/>
      <c r="BD10" s="898"/>
      <c r="BE10" s="898"/>
      <c r="BF10" s="898"/>
      <c r="BG10" s="898"/>
      <c r="BH10" s="898"/>
      <c r="BI10" s="898"/>
      <c r="BJ10" s="898"/>
      <c r="BK10" s="898"/>
      <c r="BL10" s="898"/>
      <c r="BM10" s="898"/>
      <c r="BN10" s="898"/>
      <c r="BO10" s="898"/>
      <c r="BP10" s="898"/>
      <c r="BQ10" s="898"/>
      <c r="BR10" s="898"/>
      <c r="BS10" s="898"/>
      <c r="BT10" s="898"/>
      <c r="BU10" s="898"/>
      <c r="BV10" s="898"/>
      <c r="BW10" s="898"/>
      <c r="BX10" s="898"/>
      <c r="BY10" s="898"/>
      <c r="BZ10" s="898"/>
      <c r="CA10" s="898"/>
      <c r="CB10" s="898"/>
      <c r="CC10" s="898"/>
      <c r="CD10" s="898"/>
      <c r="CE10" s="898"/>
      <c r="CF10" s="898"/>
      <c r="CG10" s="898"/>
      <c r="CH10" s="898"/>
      <c r="CI10" s="898"/>
      <c r="CJ10" s="898"/>
      <c r="CK10" s="898"/>
      <c r="CL10" s="898"/>
      <c r="CM10" s="898"/>
      <c r="CN10" s="898"/>
      <c r="CO10" s="898"/>
      <c r="CP10" s="898"/>
      <c r="CQ10" s="898"/>
      <c r="CR10" s="898"/>
      <c r="CS10" s="898"/>
      <c r="CT10" s="898"/>
      <c r="CU10" s="898"/>
      <c r="CV10" s="898"/>
      <c r="CW10" s="898"/>
      <c r="CX10" s="898"/>
      <c r="CY10" s="898"/>
      <c r="CZ10" s="898"/>
      <c r="DA10" s="898"/>
      <c r="DB10" s="898"/>
      <c r="DC10" s="898"/>
      <c r="DD10" s="898"/>
      <c r="DE10" s="898"/>
      <c r="DF10" s="898"/>
      <c r="DG10" s="898"/>
      <c r="DH10" s="898"/>
      <c r="DI10" s="898"/>
      <c r="DJ10" s="898"/>
      <c r="DK10" s="898"/>
      <c r="DL10" s="898"/>
      <c r="DM10" s="898"/>
      <c r="DN10" s="898"/>
      <c r="DO10" s="898"/>
      <c r="DP10" s="898"/>
      <c r="DQ10" s="898"/>
      <c r="DR10" s="898"/>
      <c r="DS10" s="898"/>
      <c r="DT10" s="898"/>
      <c r="DU10" s="898"/>
      <c r="DV10" s="898"/>
      <c r="DW10" s="898"/>
      <c r="DX10" s="898"/>
      <c r="DY10" s="898"/>
      <c r="DZ10" s="898"/>
      <c r="EA10" s="898"/>
      <c r="EB10" s="898"/>
      <c r="EC10" s="898"/>
      <c r="ED10" s="898"/>
      <c r="EE10" s="898"/>
      <c r="EF10" s="898"/>
      <c r="EG10" s="898"/>
      <c r="EH10" s="898"/>
      <c r="EI10" s="898"/>
      <c r="EJ10" s="898"/>
      <c r="EK10" s="898"/>
      <c r="EL10" s="898"/>
      <c r="EM10" s="898"/>
      <c r="EN10" s="898"/>
      <c r="EO10" s="898"/>
      <c r="EP10" s="898"/>
      <c r="EQ10" s="898"/>
      <c r="ER10" s="898"/>
      <c r="ES10" s="898"/>
      <c r="ET10" s="898"/>
      <c r="EU10" s="898"/>
      <c r="EV10" s="898"/>
      <c r="EW10" s="898"/>
      <c r="EX10" s="898"/>
      <c r="EY10" s="898"/>
      <c r="EZ10" s="898"/>
      <c r="FA10" s="898"/>
      <c r="FB10" s="898"/>
      <c r="FC10" s="898"/>
      <c r="FD10" s="898"/>
      <c r="FE10" s="898"/>
      <c r="FF10" s="898"/>
      <c r="FG10" s="898"/>
      <c r="FH10" s="898"/>
      <c r="FI10" s="898"/>
      <c r="FJ10" s="898"/>
      <c r="FK10" s="898"/>
      <c r="FL10" s="898"/>
      <c r="FM10" s="898"/>
      <c r="FN10" s="898"/>
      <c r="FO10" s="898"/>
      <c r="FP10" s="898"/>
      <c r="FQ10" s="898"/>
      <c r="FR10" s="898"/>
      <c r="FS10" s="898"/>
      <c r="FT10" s="898"/>
      <c r="FU10" s="898"/>
      <c r="FV10" s="898"/>
      <c r="FW10" s="898"/>
      <c r="FX10" s="898"/>
      <c r="FY10" s="898"/>
      <c r="FZ10" s="898"/>
      <c r="GA10" s="898"/>
      <c r="GB10" s="898"/>
      <c r="GC10" s="898"/>
      <c r="GD10" s="898"/>
      <c r="GE10" s="898"/>
      <c r="GF10" s="898"/>
      <c r="GG10" s="898"/>
      <c r="GH10" s="898"/>
      <c r="GI10" s="898"/>
      <c r="GJ10" s="898"/>
      <c r="GK10" s="898"/>
      <c r="GL10" s="898"/>
      <c r="GM10" s="898"/>
      <c r="GN10" s="898"/>
      <c r="GO10" s="898"/>
      <c r="GP10" s="898"/>
      <c r="GQ10" s="898"/>
      <c r="GR10" s="898"/>
      <c r="GS10" s="898"/>
      <c r="GT10" s="898"/>
      <c r="GU10" s="898"/>
      <c r="GV10" s="898"/>
      <c r="GW10" s="898"/>
      <c r="GX10" s="898"/>
      <c r="GY10" s="898"/>
      <c r="GZ10" s="898"/>
      <c r="HA10" s="898"/>
      <c r="HB10" s="898"/>
      <c r="HC10" s="898"/>
      <c r="HD10" s="898"/>
      <c r="HE10" s="898"/>
      <c r="HF10" s="898"/>
      <c r="HG10" s="898"/>
      <c r="HH10" s="898"/>
      <c r="HI10" s="898"/>
      <c r="HJ10" s="898"/>
      <c r="HK10" s="898"/>
      <c r="HL10" s="898"/>
      <c r="HM10" s="898"/>
      <c r="HN10" s="898"/>
      <c r="HO10" s="898"/>
      <c r="HP10" s="898"/>
      <c r="HQ10" s="898"/>
      <c r="HR10" s="898"/>
      <c r="HS10" s="898"/>
      <c r="HT10" s="898"/>
      <c r="HU10" s="898"/>
      <c r="HV10" s="898"/>
      <c r="HW10" s="898"/>
      <c r="HX10" s="898"/>
      <c r="HY10" s="898"/>
      <c r="HZ10" s="898"/>
      <c r="IA10" s="898"/>
      <c r="IB10" s="898"/>
      <c r="IC10" s="898"/>
      <c r="ID10" s="898"/>
      <c r="IE10" s="898"/>
      <c r="IF10" s="898"/>
      <c r="IG10" s="898"/>
      <c r="IH10" s="898"/>
      <c r="II10" s="898"/>
      <c r="IJ10" s="898"/>
      <c r="IK10" s="898"/>
      <c r="IL10" s="898"/>
      <c r="IM10" s="898"/>
      <c r="IN10" s="898"/>
      <c r="IO10" s="898"/>
      <c r="IP10" s="898"/>
      <c r="IQ10" s="898"/>
      <c r="IR10" s="898"/>
      <c r="IS10" s="898"/>
      <c r="IT10" s="898"/>
      <c r="IU10" s="898"/>
      <c r="IV10" s="898"/>
    </row>
    <row r="11" spans="1:256" ht="9.75" customHeight="1">
      <c r="A11" s="894" t="s">
        <v>16</v>
      </c>
      <c r="B11" s="894"/>
      <c r="C11" s="894"/>
      <c r="D11" s="1414" t="s">
        <v>16</v>
      </c>
      <c r="E11" s="894"/>
      <c r="F11" s="1414" t="s">
        <v>16</v>
      </c>
      <c r="G11" s="894"/>
      <c r="H11" s="1414" t="s">
        <v>16</v>
      </c>
      <c r="I11" s="894"/>
      <c r="J11" s="1414" t="s">
        <v>16</v>
      </c>
      <c r="K11" s="894" t="s">
        <v>16</v>
      </c>
      <c r="L11" s="1414" t="s">
        <v>16</v>
      </c>
      <c r="M11" s="896"/>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898"/>
      <c r="BL11" s="898"/>
      <c r="BM11" s="898"/>
      <c r="BN11" s="898"/>
      <c r="BO11" s="898"/>
      <c r="BP11" s="898"/>
      <c r="BQ11" s="898"/>
      <c r="BR11" s="898"/>
      <c r="BS11" s="898"/>
      <c r="BT11" s="898"/>
      <c r="BU11" s="898"/>
      <c r="BV11" s="898"/>
      <c r="BW11" s="898"/>
      <c r="BX11" s="898"/>
      <c r="BY11" s="898"/>
      <c r="BZ11" s="898"/>
      <c r="CA11" s="898"/>
      <c r="CB11" s="898"/>
      <c r="CC11" s="898"/>
      <c r="CD11" s="898"/>
      <c r="CE11" s="898"/>
      <c r="CF11" s="898"/>
      <c r="CG11" s="898"/>
      <c r="CH11" s="898"/>
      <c r="CI11" s="898"/>
      <c r="CJ11" s="898"/>
      <c r="CK11" s="898"/>
      <c r="CL11" s="898"/>
      <c r="CM11" s="898"/>
      <c r="CN11" s="898"/>
      <c r="CO11" s="898"/>
      <c r="CP11" s="898"/>
      <c r="CQ11" s="898"/>
      <c r="CR11" s="898"/>
      <c r="CS11" s="898"/>
      <c r="CT11" s="898"/>
      <c r="CU11" s="898"/>
      <c r="CV11" s="898"/>
      <c r="CW11" s="898"/>
      <c r="CX11" s="898"/>
      <c r="CY11" s="898"/>
      <c r="CZ11" s="898"/>
      <c r="DA11" s="898"/>
      <c r="DB11" s="898"/>
      <c r="DC11" s="898"/>
      <c r="DD11" s="898"/>
      <c r="DE11" s="898"/>
      <c r="DF11" s="898"/>
      <c r="DG11" s="898"/>
      <c r="DH11" s="898"/>
      <c r="DI11" s="898"/>
      <c r="DJ11" s="898"/>
      <c r="DK11" s="898"/>
      <c r="DL11" s="898"/>
      <c r="DM11" s="898"/>
      <c r="DN11" s="898"/>
      <c r="DO11" s="898"/>
      <c r="DP11" s="898"/>
      <c r="DQ11" s="898"/>
      <c r="DR11" s="898"/>
      <c r="DS11" s="898"/>
      <c r="DT11" s="898"/>
      <c r="DU11" s="898"/>
      <c r="DV11" s="898"/>
      <c r="DW11" s="898"/>
      <c r="DX11" s="898"/>
      <c r="DY11" s="898"/>
      <c r="DZ11" s="898"/>
      <c r="EA11" s="898"/>
      <c r="EB11" s="898"/>
      <c r="EC11" s="898"/>
      <c r="ED11" s="898"/>
      <c r="EE11" s="898"/>
      <c r="EF11" s="898"/>
      <c r="EG11" s="898"/>
      <c r="EH11" s="898"/>
      <c r="EI11" s="898"/>
      <c r="EJ11" s="898"/>
      <c r="EK11" s="898"/>
      <c r="EL11" s="898"/>
      <c r="EM11" s="898"/>
      <c r="EN11" s="898"/>
      <c r="EO11" s="898"/>
      <c r="EP11" s="898"/>
      <c r="EQ11" s="898"/>
      <c r="ER11" s="898"/>
      <c r="ES11" s="898"/>
      <c r="ET11" s="898"/>
      <c r="EU11" s="898"/>
      <c r="EV11" s="898"/>
      <c r="EW11" s="898"/>
      <c r="EX11" s="898"/>
      <c r="EY11" s="898"/>
      <c r="EZ11" s="898"/>
      <c r="FA11" s="898"/>
      <c r="FB11" s="898"/>
      <c r="FC11" s="898"/>
      <c r="FD11" s="898"/>
      <c r="FE11" s="898"/>
      <c r="FF11" s="898"/>
      <c r="FG11" s="898"/>
      <c r="FH11" s="898"/>
      <c r="FI11" s="898"/>
      <c r="FJ11" s="898"/>
      <c r="FK11" s="898"/>
      <c r="FL11" s="898"/>
      <c r="FM11" s="898"/>
      <c r="FN11" s="898"/>
      <c r="FO11" s="898"/>
      <c r="FP11" s="898"/>
      <c r="FQ11" s="898"/>
      <c r="FR11" s="898"/>
      <c r="FS11" s="898"/>
      <c r="FT11" s="898"/>
      <c r="FU11" s="898"/>
      <c r="FV11" s="898"/>
      <c r="FW11" s="898"/>
      <c r="FX11" s="898"/>
      <c r="FY11" s="898"/>
      <c r="FZ11" s="898"/>
      <c r="GA11" s="898"/>
      <c r="GB11" s="898"/>
      <c r="GC11" s="898"/>
      <c r="GD11" s="898"/>
      <c r="GE11" s="898"/>
      <c r="GF11" s="898"/>
      <c r="GG11" s="898"/>
      <c r="GH11" s="898"/>
      <c r="GI11" s="898"/>
      <c r="GJ11" s="898"/>
      <c r="GK11" s="898"/>
      <c r="GL11" s="898"/>
      <c r="GM11" s="898"/>
      <c r="GN11" s="898"/>
      <c r="GO11" s="898"/>
      <c r="GP11" s="898"/>
      <c r="GQ11" s="898"/>
      <c r="GR11" s="898"/>
      <c r="GS11" s="898"/>
      <c r="GT11" s="898"/>
      <c r="GU11" s="898"/>
      <c r="GV11" s="898"/>
      <c r="GW11" s="898"/>
      <c r="GX11" s="898"/>
      <c r="GY11" s="898"/>
      <c r="GZ11" s="898"/>
      <c r="HA11" s="898"/>
      <c r="HB11" s="898"/>
      <c r="HC11" s="898"/>
      <c r="HD11" s="898"/>
      <c r="HE11" s="898"/>
      <c r="HF11" s="898"/>
      <c r="HG11" s="898"/>
      <c r="HH11" s="898"/>
      <c r="HI11" s="898"/>
      <c r="HJ11" s="898"/>
      <c r="HK11" s="898"/>
      <c r="HL11" s="898"/>
      <c r="HM11" s="898"/>
      <c r="HN11" s="898"/>
      <c r="HO11" s="898"/>
      <c r="HP11" s="898"/>
      <c r="HQ11" s="898"/>
      <c r="HR11" s="898"/>
      <c r="HS11" s="898"/>
      <c r="HT11" s="898"/>
      <c r="HU11" s="898"/>
      <c r="HV11" s="898"/>
      <c r="HW11" s="898"/>
      <c r="HX11" s="898"/>
      <c r="HY11" s="898"/>
      <c r="HZ11" s="898"/>
      <c r="IA11" s="898"/>
      <c r="IB11" s="898"/>
      <c r="IC11" s="898"/>
      <c r="ID11" s="898"/>
      <c r="IE11" s="898"/>
      <c r="IF11" s="898"/>
      <c r="IG11" s="898"/>
      <c r="IH11" s="898"/>
      <c r="II11" s="898"/>
      <c r="IJ11" s="898"/>
      <c r="IK11" s="898"/>
      <c r="IL11" s="898"/>
      <c r="IM11" s="898"/>
      <c r="IN11" s="898"/>
      <c r="IO11" s="898"/>
      <c r="IP11" s="898"/>
      <c r="IQ11" s="898"/>
      <c r="IR11" s="898"/>
      <c r="IS11" s="898"/>
      <c r="IT11" s="898"/>
      <c r="IU11" s="898"/>
      <c r="IV11" s="898"/>
    </row>
    <row r="12" spans="1:256" ht="18" customHeight="1">
      <c r="A12" s="901" t="s">
        <v>237</v>
      </c>
      <c r="B12" s="898"/>
      <c r="C12" s="898"/>
      <c r="D12" s="1415"/>
      <c r="E12" s="1415"/>
      <c r="F12" s="917"/>
      <c r="G12" s="860"/>
      <c r="H12" s="917"/>
      <c r="I12" s="1415"/>
      <c r="J12" s="1415"/>
      <c r="K12" s="1415"/>
      <c r="L12" s="1415"/>
      <c r="M12" s="902"/>
      <c r="N12" s="903"/>
      <c r="O12" s="904"/>
      <c r="P12" s="904"/>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898"/>
      <c r="BL12" s="898"/>
      <c r="BM12" s="898"/>
      <c r="BN12" s="898"/>
      <c r="BO12" s="898"/>
      <c r="BP12" s="898"/>
      <c r="BQ12" s="898"/>
      <c r="BR12" s="898"/>
      <c r="BS12" s="898"/>
      <c r="BT12" s="898"/>
      <c r="BU12" s="898"/>
      <c r="BV12" s="898"/>
      <c r="BW12" s="898"/>
      <c r="BX12" s="898"/>
      <c r="BY12" s="898"/>
      <c r="BZ12" s="898"/>
      <c r="CA12" s="898"/>
      <c r="CB12" s="898"/>
      <c r="CC12" s="898"/>
      <c r="CD12" s="898"/>
      <c r="CE12" s="898"/>
      <c r="CF12" s="898"/>
      <c r="CG12" s="898"/>
      <c r="CH12" s="898"/>
      <c r="CI12" s="898"/>
      <c r="CJ12" s="898"/>
      <c r="CK12" s="898"/>
      <c r="CL12" s="898"/>
      <c r="CM12" s="898"/>
      <c r="CN12" s="898"/>
      <c r="CO12" s="898"/>
      <c r="CP12" s="898"/>
      <c r="CQ12" s="898"/>
      <c r="CR12" s="898"/>
      <c r="CS12" s="898"/>
      <c r="CT12" s="898"/>
      <c r="CU12" s="898"/>
      <c r="CV12" s="898"/>
      <c r="CW12" s="898"/>
      <c r="CX12" s="898"/>
      <c r="CY12" s="898"/>
      <c r="CZ12" s="898"/>
      <c r="DA12" s="898"/>
      <c r="DB12" s="898"/>
      <c r="DC12" s="898"/>
      <c r="DD12" s="898"/>
      <c r="DE12" s="898"/>
      <c r="DF12" s="898"/>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898"/>
      <c r="EU12" s="898"/>
      <c r="EV12" s="898"/>
      <c r="EW12" s="898"/>
      <c r="EX12" s="898"/>
      <c r="EY12" s="898"/>
      <c r="EZ12" s="898"/>
      <c r="FA12" s="898"/>
      <c r="FB12" s="898"/>
      <c r="FC12" s="898"/>
      <c r="FD12" s="898"/>
      <c r="FE12" s="898"/>
      <c r="FF12" s="898"/>
      <c r="FG12" s="898"/>
      <c r="FH12" s="898"/>
      <c r="FI12" s="898"/>
      <c r="FJ12" s="898"/>
      <c r="FK12" s="898"/>
      <c r="FL12" s="898"/>
      <c r="FM12" s="898"/>
      <c r="FN12" s="898"/>
      <c r="FO12" s="898"/>
      <c r="FP12" s="898"/>
      <c r="FQ12" s="898"/>
      <c r="FR12" s="898"/>
      <c r="FS12" s="898"/>
      <c r="FT12" s="898"/>
      <c r="FU12" s="898"/>
      <c r="FV12" s="898"/>
      <c r="FW12" s="898"/>
      <c r="FX12" s="898"/>
      <c r="FY12" s="898"/>
      <c r="FZ12" s="898"/>
      <c r="GA12" s="898"/>
      <c r="GB12" s="898"/>
      <c r="GC12" s="898"/>
      <c r="GD12" s="898"/>
      <c r="GE12" s="898"/>
      <c r="GF12" s="898"/>
      <c r="GG12" s="898"/>
      <c r="GH12" s="898"/>
      <c r="GI12" s="898"/>
      <c r="GJ12" s="898"/>
      <c r="GK12" s="898"/>
      <c r="GL12" s="898"/>
      <c r="GM12" s="898"/>
      <c r="GN12" s="898"/>
      <c r="GO12" s="898"/>
      <c r="GP12" s="898"/>
      <c r="GQ12" s="898"/>
      <c r="GR12" s="898"/>
      <c r="GS12" s="898"/>
      <c r="GT12" s="898"/>
      <c r="GU12" s="898"/>
      <c r="GV12" s="898"/>
      <c r="GW12" s="898"/>
      <c r="GX12" s="898"/>
      <c r="GY12" s="898"/>
      <c r="GZ12" s="898"/>
      <c r="HA12" s="898"/>
      <c r="HB12" s="898"/>
      <c r="HC12" s="898"/>
      <c r="HD12" s="898"/>
      <c r="HE12" s="898"/>
      <c r="HF12" s="898"/>
      <c r="HG12" s="898"/>
      <c r="HH12" s="898"/>
      <c r="HI12" s="898"/>
      <c r="HJ12" s="898"/>
      <c r="HK12" s="898"/>
      <c r="HL12" s="898"/>
      <c r="HM12" s="898"/>
      <c r="HN12" s="898"/>
      <c r="HO12" s="898"/>
      <c r="HP12" s="898"/>
      <c r="HQ12" s="898"/>
      <c r="HR12" s="898"/>
      <c r="HS12" s="898"/>
      <c r="HT12" s="898"/>
      <c r="HU12" s="898"/>
      <c r="HV12" s="898"/>
      <c r="HW12" s="898"/>
      <c r="HX12" s="898"/>
      <c r="HY12" s="898"/>
      <c r="HZ12" s="898"/>
      <c r="IA12" s="898"/>
      <c r="IB12" s="898"/>
      <c r="IC12" s="898"/>
      <c r="ID12" s="898"/>
      <c r="IE12" s="898"/>
      <c r="IF12" s="898"/>
      <c r="IG12" s="898"/>
      <c r="IH12" s="898"/>
      <c r="II12" s="898"/>
      <c r="IJ12" s="898"/>
      <c r="IK12" s="898"/>
      <c r="IL12" s="898"/>
      <c r="IM12" s="898"/>
      <c r="IN12" s="898"/>
      <c r="IO12" s="898"/>
      <c r="IP12" s="898"/>
      <c r="IQ12" s="898"/>
      <c r="IR12" s="898"/>
      <c r="IS12" s="898"/>
      <c r="IT12" s="898"/>
      <c r="IU12" s="898"/>
      <c r="IV12" s="898"/>
    </row>
    <row r="13" spans="1:256" ht="7.5" customHeight="1">
      <c r="A13" s="894"/>
      <c r="B13" s="898"/>
      <c r="C13" s="898"/>
      <c r="D13" s="1415"/>
      <c r="E13" s="1415"/>
      <c r="F13" s="1415"/>
      <c r="G13" s="1415"/>
      <c r="H13" s="1415"/>
      <c r="I13" s="1415"/>
      <c r="J13" s="1415"/>
      <c r="K13" s="1415"/>
      <c r="L13" s="1415"/>
      <c r="M13" s="902"/>
      <c r="N13" s="903"/>
      <c r="O13" s="904"/>
      <c r="P13" s="904"/>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row>
    <row r="14" spans="1:256" ht="15.75" customHeight="1">
      <c r="A14" s="898" t="s">
        <v>1397</v>
      </c>
      <c r="B14" s="898"/>
      <c r="C14" s="898"/>
      <c r="D14" s="1416">
        <v>-1.2270000000000001</v>
      </c>
      <c r="E14" s="1417"/>
      <c r="F14" s="1418">
        <v>4.5250000000000004</v>
      </c>
      <c r="G14" s="1417"/>
      <c r="H14" s="1418">
        <v>5.0469999999999997</v>
      </c>
      <c r="I14" s="1417"/>
      <c r="J14" s="1419">
        <v>0</v>
      </c>
      <c r="K14" s="1417"/>
      <c r="L14" s="1418">
        <f>ROUND(D14+F14-H14+J14,3)</f>
        <v>-1.7490000000000001</v>
      </c>
      <c r="M14" s="902"/>
      <c r="N14" s="903"/>
      <c r="O14" s="904"/>
      <c r="P14" s="904"/>
      <c r="Q14" s="898"/>
      <c r="R14" s="898"/>
      <c r="S14" s="898"/>
      <c r="T14" s="898"/>
      <c r="U14" s="898"/>
      <c r="V14" s="898"/>
      <c r="W14" s="898"/>
      <c r="X14" s="898"/>
      <c r="Y14" s="898"/>
      <c r="Z14" s="898"/>
      <c r="AA14" s="898"/>
      <c r="AB14" s="898"/>
      <c r="AC14" s="898"/>
      <c r="AD14" s="898"/>
      <c r="AE14" s="898"/>
      <c r="AF14" s="898"/>
      <c r="AG14" s="898"/>
      <c r="AH14" s="898"/>
      <c r="AI14" s="898"/>
      <c r="AJ14" s="898"/>
      <c r="AK14" s="898"/>
      <c r="AL14" s="898"/>
      <c r="AM14" s="898"/>
      <c r="AN14" s="898"/>
      <c r="AO14" s="898"/>
      <c r="AP14" s="898"/>
      <c r="AQ14" s="898"/>
      <c r="AR14" s="898"/>
      <c r="AS14" s="898"/>
      <c r="AT14" s="898"/>
      <c r="AU14" s="898"/>
      <c r="AV14" s="898"/>
      <c r="AW14" s="898"/>
      <c r="AX14" s="898"/>
      <c r="AY14" s="898"/>
      <c r="AZ14" s="898"/>
      <c r="BA14" s="898"/>
      <c r="BB14" s="898"/>
      <c r="BC14" s="898"/>
      <c r="BD14" s="898"/>
      <c r="BE14" s="898"/>
      <c r="BF14" s="898"/>
      <c r="BG14" s="898"/>
      <c r="BH14" s="898"/>
      <c r="BI14" s="898"/>
      <c r="BJ14" s="898"/>
      <c r="BK14" s="898"/>
      <c r="BL14" s="898"/>
      <c r="BM14" s="898"/>
      <c r="BN14" s="898"/>
      <c r="BO14" s="898"/>
      <c r="BP14" s="898"/>
      <c r="BQ14" s="898"/>
      <c r="BR14" s="898"/>
      <c r="BS14" s="898"/>
      <c r="BT14" s="898"/>
      <c r="BU14" s="898"/>
      <c r="BV14" s="898"/>
      <c r="BW14" s="898"/>
      <c r="BX14" s="898"/>
      <c r="BY14" s="898"/>
      <c r="BZ14" s="898"/>
      <c r="CA14" s="898"/>
      <c r="CB14" s="898"/>
      <c r="CC14" s="898"/>
      <c r="CD14" s="898"/>
      <c r="CE14" s="898"/>
      <c r="CF14" s="898"/>
      <c r="CG14" s="898"/>
      <c r="CH14" s="898"/>
      <c r="CI14" s="898"/>
      <c r="CJ14" s="898"/>
      <c r="CK14" s="898"/>
      <c r="CL14" s="898"/>
      <c r="CM14" s="898"/>
      <c r="CN14" s="898"/>
      <c r="CO14" s="898"/>
      <c r="CP14" s="898"/>
      <c r="CQ14" s="898"/>
      <c r="CR14" s="898"/>
      <c r="CS14" s="898"/>
      <c r="CT14" s="898"/>
      <c r="CU14" s="898"/>
      <c r="CV14" s="898"/>
      <c r="CW14" s="898"/>
      <c r="CX14" s="898"/>
      <c r="CY14" s="898"/>
      <c r="CZ14" s="898"/>
      <c r="DA14" s="898"/>
      <c r="DB14" s="898"/>
      <c r="DC14" s="898"/>
      <c r="DD14" s="898"/>
      <c r="DE14" s="898"/>
      <c r="DF14" s="898"/>
      <c r="DG14" s="898"/>
      <c r="DH14" s="898"/>
      <c r="DI14" s="898"/>
      <c r="DJ14" s="898"/>
      <c r="DK14" s="898"/>
      <c r="DL14" s="898"/>
      <c r="DM14" s="898"/>
      <c r="DN14" s="898"/>
      <c r="DO14" s="898"/>
      <c r="DP14" s="898"/>
      <c r="DQ14" s="898"/>
      <c r="DR14" s="898"/>
      <c r="DS14" s="898"/>
      <c r="DT14" s="898"/>
      <c r="DU14" s="898"/>
      <c r="DV14" s="898"/>
      <c r="DW14" s="898"/>
      <c r="DX14" s="898"/>
      <c r="DY14" s="898"/>
      <c r="DZ14" s="898"/>
      <c r="EA14" s="898"/>
      <c r="EB14" s="898"/>
      <c r="EC14" s="898"/>
      <c r="ED14" s="898"/>
      <c r="EE14" s="898"/>
      <c r="EF14" s="898"/>
      <c r="EG14" s="898"/>
      <c r="EH14" s="898"/>
      <c r="EI14" s="898"/>
      <c r="EJ14" s="898"/>
      <c r="EK14" s="898"/>
      <c r="EL14" s="898"/>
      <c r="EM14" s="898"/>
      <c r="EN14" s="898"/>
      <c r="EO14" s="898"/>
      <c r="EP14" s="898"/>
      <c r="EQ14" s="898"/>
      <c r="ER14" s="898"/>
      <c r="ES14" s="898"/>
      <c r="ET14" s="898"/>
      <c r="EU14" s="898"/>
      <c r="EV14" s="898"/>
      <c r="EW14" s="898"/>
      <c r="EX14" s="898"/>
      <c r="EY14" s="898"/>
      <c r="EZ14" s="898"/>
      <c r="FA14" s="898"/>
      <c r="FB14" s="898"/>
      <c r="FC14" s="898"/>
      <c r="FD14" s="898"/>
      <c r="FE14" s="898"/>
      <c r="FF14" s="898"/>
      <c r="FG14" s="898"/>
      <c r="FH14" s="898"/>
      <c r="FI14" s="898"/>
      <c r="FJ14" s="898"/>
      <c r="FK14" s="898"/>
      <c r="FL14" s="898"/>
      <c r="FM14" s="898"/>
      <c r="FN14" s="898"/>
      <c r="FO14" s="898"/>
      <c r="FP14" s="898"/>
      <c r="FQ14" s="898"/>
      <c r="FR14" s="898"/>
      <c r="FS14" s="898"/>
      <c r="FT14" s="898"/>
      <c r="FU14" s="898"/>
      <c r="FV14" s="898"/>
      <c r="FW14" s="898"/>
      <c r="FX14" s="898"/>
      <c r="FY14" s="898"/>
      <c r="FZ14" s="898"/>
      <c r="GA14" s="898"/>
      <c r="GB14" s="898"/>
      <c r="GC14" s="898"/>
      <c r="GD14" s="898"/>
      <c r="GE14" s="898"/>
      <c r="GF14" s="898"/>
      <c r="GG14" s="898"/>
      <c r="GH14" s="898"/>
      <c r="GI14" s="898"/>
      <c r="GJ14" s="898"/>
      <c r="GK14" s="898"/>
      <c r="GL14" s="898"/>
      <c r="GM14" s="898"/>
      <c r="GN14" s="898"/>
      <c r="GO14" s="898"/>
      <c r="GP14" s="898"/>
      <c r="GQ14" s="898"/>
      <c r="GR14" s="898"/>
      <c r="GS14" s="898"/>
      <c r="GT14" s="898"/>
      <c r="GU14" s="898"/>
      <c r="GV14" s="898"/>
      <c r="GW14" s="898"/>
      <c r="GX14" s="898"/>
      <c r="GY14" s="898"/>
      <c r="GZ14" s="898"/>
      <c r="HA14" s="898"/>
      <c r="HB14" s="898"/>
      <c r="HC14" s="898"/>
      <c r="HD14" s="898"/>
      <c r="HE14" s="898"/>
      <c r="HF14" s="898"/>
      <c r="HG14" s="898"/>
      <c r="HH14" s="898"/>
      <c r="HI14" s="898"/>
      <c r="HJ14" s="898"/>
      <c r="HK14" s="898"/>
      <c r="HL14" s="898"/>
      <c r="HM14" s="898"/>
      <c r="HN14" s="898"/>
      <c r="HO14" s="898"/>
      <c r="HP14" s="898"/>
      <c r="HQ14" s="898"/>
      <c r="HR14" s="898"/>
      <c r="HS14" s="898"/>
      <c r="HT14" s="898"/>
      <c r="HU14" s="898"/>
      <c r="HV14" s="898"/>
      <c r="HW14" s="898"/>
      <c r="HX14" s="898"/>
      <c r="HY14" s="898"/>
      <c r="HZ14" s="898"/>
      <c r="IA14" s="898"/>
      <c r="IB14" s="898"/>
      <c r="IC14" s="898"/>
      <c r="ID14" s="898"/>
      <c r="IE14" s="898"/>
      <c r="IF14" s="898"/>
      <c r="IG14" s="898"/>
      <c r="IH14" s="898"/>
      <c r="II14" s="898"/>
      <c r="IJ14" s="898"/>
      <c r="IK14" s="898"/>
      <c r="IL14" s="898"/>
      <c r="IM14" s="898"/>
      <c r="IN14" s="898"/>
      <c r="IO14" s="898"/>
      <c r="IP14" s="898"/>
      <c r="IQ14" s="898"/>
      <c r="IR14" s="898"/>
      <c r="IS14" s="898"/>
      <c r="IT14" s="898"/>
      <c r="IU14" s="898"/>
      <c r="IV14" s="898"/>
    </row>
    <row r="15" spans="1:256" ht="6.75" customHeight="1">
      <c r="A15" s="894"/>
      <c r="B15" s="898"/>
      <c r="C15" s="898"/>
      <c r="D15" s="1420" t="s">
        <v>16</v>
      </c>
      <c r="E15" s="1421"/>
      <c r="F15" s="1422" t="s">
        <v>16</v>
      </c>
      <c r="G15" s="1421"/>
      <c r="H15" s="1422" t="s">
        <v>16</v>
      </c>
      <c r="I15" s="1421"/>
      <c r="J15" s="1423" t="s">
        <v>16</v>
      </c>
      <c r="K15" s="1421"/>
      <c r="L15" s="1424" t="s">
        <v>16</v>
      </c>
      <c r="M15" s="905"/>
      <c r="N15" s="898"/>
      <c r="O15" s="904"/>
      <c r="P15" s="904"/>
      <c r="Q15" s="898"/>
      <c r="R15" s="898"/>
      <c r="S15" s="898"/>
      <c r="T15" s="898"/>
      <c r="U15" s="898"/>
      <c r="V15" s="898"/>
      <c r="W15" s="898"/>
      <c r="X15" s="898"/>
      <c r="Y15" s="898"/>
      <c r="Z15" s="898"/>
      <c r="AA15" s="898"/>
      <c r="AB15" s="898"/>
      <c r="AC15" s="898"/>
      <c r="AD15" s="898"/>
      <c r="AE15" s="898"/>
      <c r="AF15" s="898"/>
      <c r="AG15" s="898"/>
      <c r="AH15" s="898"/>
      <c r="AI15" s="898"/>
      <c r="AJ15" s="898"/>
      <c r="AK15" s="898"/>
      <c r="AL15" s="898"/>
      <c r="AM15" s="898"/>
      <c r="AN15" s="898"/>
      <c r="AO15" s="898"/>
      <c r="AP15" s="898"/>
      <c r="AQ15" s="898"/>
      <c r="AR15" s="898"/>
      <c r="AS15" s="898"/>
      <c r="AT15" s="898"/>
      <c r="AU15" s="898"/>
      <c r="AV15" s="898"/>
      <c r="AW15" s="898"/>
      <c r="AX15" s="898"/>
      <c r="AY15" s="898"/>
      <c r="AZ15" s="898"/>
      <c r="BA15" s="898"/>
      <c r="BB15" s="898"/>
      <c r="BC15" s="898"/>
      <c r="BD15" s="898"/>
      <c r="BE15" s="898"/>
      <c r="BF15" s="898"/>
      <c r="BG15" s="898"/>
      <c r="BH15" s="898"/>
      <c r="BI15" s="898"/>
      <c r="BJ15" s="898"/>
      <c r="BK15" s="898"/>
      <c r="BL15" s="898"/>
      <c r="BM15" s="898"/>
      <c r="BN15" s="898"/>
      <c r="BO15" s="898"/>
      <c r="BP15" s="898"/>
      <c r="BQ15" s="898"/>
      <c r="BR15" s="898"/>
      <c r="BS15" s="898"/>
      <c r="BT15" s="898"/>
      <c r="BU15" s="898"/>
      <c r="BV15" s="898"/>
      <c r="BW15" s="898"/>
      <c r="BX15" s="898"/>
      <c r="BY15" s="898"/>
      <c r="BZ15" s="898"/>
      <c r="CA15" s="898"/>
      <c r="CB15" s="898"/>
      <c r="CC15" s="898"/>
      <c r="CD15" s="898"/>
      <c r="CE15" s="898"/>
      <c r="CF15" s="898"/>
      <c r="CG15" s="898"/>
      <c r="CH15" s="898"/>
      <c r="CI15" s="898"/>
      <c r="CJ15" s="898"/>
      <c r="CK15" s="898"/>
      <c r="CL15" s="898"/>
      <c r="CM15" s="898"/>
      <c r="CN15" s="898"/>
      <c r="CO15" s="898"/>
      <c r="CP15" s="898"/>
      <c r="CQ15" s="898"/>
      <c r="CR15" s="898"/>
      <c r="CS15" s="898"/>
      <c r="CT15" s="898"/>
      <c r="CU15" s="898"/>
      <c r="CV15" s="898"/>
      <c r="CW15" s="898"/>
      <c r="CX15" s="898"/>
      <c r="CY15" s="898"/>
      <c r="CZ15" s="898"/>
      <c r="DA15" s="898"/>
      <c r="DB15" s="898"/>
      <c r="DC15" s="898"/>
      <c r="DD15" s="898"/>
      <c r="DE15" s="898"/>
      <c r="DF15" s="898"/>
      <c r="DG15" s="898"/>
      <c r="DH15" s="898"/>
      <c r="DI15" s="898"/>
      <c r="DJ15" s="898"/>
      <c r="DK15" s="898"/>
      <c r="DL15" s="898"/>
      <c r="DM15" s="898"/>
      <c r="DN15" s="898"/>
      <c r="DO15" s="898"/>
      <c r="DP15" s="898"/>
      <c r="DQ15" s="898"/>
      <c r="DR15" s="898"/>
      <c r="DS15" s="898"/>
      <c r="DT15" s="898"/>
      <c r="DU15" s="898"/>
      <c r="DV15" s="898"/>
      <c r="DW15" s="898"/>
      <c r="DX15" s="898"/>
      <c r="DY15" s="898"/>
      <c r="DZ15" s="898"/>
      <c r="EA15" s="898"/>
      <c r="EB15" s="898"/>
      <c r="EC15" s="898"/>
      <c r="ED15" s="898"/>
      <c r="EE15" s="898"/>
      <c r="EF15" s="898"/>
      <c r="EG15" s="898"/>
      <c r="EH15" s="898"/>
      <c r="EI15" s="898"/>
      <c r="EJ15" s="898"/>
      <c r="EK15" s="898"/>
      <c r="EL15" s="898"/>
      <c r="EM15" s="898"/>
      <c r="EN15" s="898"/>
      <c r="EO15" s="898"/>
      <c r="EP15" s="898"/>
      <c r="EQ15" s="898"/>
      <c r="ER15" s="898"/>
      <c r="ES15" s="898"/>
      <c r="ET15" s="898"/>
      <c r="EU15" s="898"/>
      <c r="EV15" s="898"/>
      <c r="EW15" s="898"/>
      <c r="EX15" s="898"/>
      <c r="EY15" s="898"/>
      <c r="EZ15" s="898"/>
      <c r="FA15" s="898"/>
      <c r="FB15" s="898"/>
      <c r="FC15" s="898"/>
      <c r="FD15" s="898"/>
      <c r="FE15" s="898"/>
      <c r="FF15" s="898"/>
      <c r="FG15" s="898"/>
      <c r="FH15" s="898"/>
      <c r="FI15" s="898"/>
      <c r="FJ15" s="898"/>
      <c r="FK15" s="898"/>
      <c r="FL15" s="898"/>
      <c r="FM15" s="898"/>
      <c r="FN15" s="898"/>
      <c r="FO15" s="898"/>
      <c r="FP15" s="898"/>
      <c r="FQ15" s="898"/>
      <c r="FR15" s="898"/>
      <c r="FS15" s="898"/>
      <c r="FT15" s="898"/>
      <c r="FU15" s="898"/>
      <c r="FV15" s="898"/>
      <c r="FW15" s="898"/>
      <c r="FX15" s="898"/>
      <c r="FY15" s="898"/>
      <c r="FZ15" s="898"/>
      <c r="GA15" s="898"/>
      <c r="GB15" s="898"/>
      <c r="GC15" s="898"/>
      <c r="GD15" s="898"/>
      <c r="GE15" s="898"/>
      <c r="GF15" s="898"/>
      <c r="GG15" s="898"/>
      <c r="GH15" s="898"/>
      <c r="GI15" s="898"/>
      <c r="GJ15" s="898"/>
      <c r="GK15" s="898"/>
      <c r="GL15" s="898"/>
      <c r="GM15" s="898"/>
      <c r="GN15" s="898"/>
      <c r="GO15" s="898"/>
      <c r="GP15" s="898"/>
      <c r="GQ15" s="898"/>
      <c r="GR15" s="898"/>
      <c r="GS15" s="898"/>
      <c r="GT15" s="898"/>
      <c r="GU15" s="898"/>
      <c r="GV15" s="898"/>
      <c r="GW15" s="898"/>
      <c r="GX15" s="898"/>
      <c r="GY15" s="898"/>
      <c r="GZ15" s="898"/>
      <c r="HA15" s="898"/>
      <c r="HB15" s="898"/>
      <c r="HC15" s="898"/>
      <c r="HD15" s="898"/>
      <c r="HE15" s="898"/>
      <c r="HF15" s="898"/>
      <c r="HG15" s="898"/>
      <c r="HH15" s="898"/>
      <c r="HI15" s="898"/>
      <c r="HJ15" s="898"/>
      <c r="HK15" s="898"/>
      <c r="HL15" s="898"/>
      <c r="HM15" s="898"/>
      <c r="HN15" s="898"/>
      <c r="HO15" s="898"/>
      <c r="HP15" s="898"/>
      <c r="HQ15" s="898"/>
      <c r="HR15" s="898"/>
      <c r="HS15" s="898"/>
      <c r="HT15" s="898"/>
      <c r="HU15" s="898"/>
      <c r="HV15" s="898"/>
      <c r="HW15" s="898"/>
      <c r="HX15" s="898"/>
      <c r="HY15" s="898"/>
      <c r="HZ15" s="898"/>
      <c r="IA15" s="898"/>
      <c r="IB15" s="898"/>
      <c r="IC15" s="898"/>
      <c r="ID15" s="898"/>
      <c r="IE15" s="898"/>
      <c r="IF15" s="898"/>
      <c r="IG15" s="898"/>
      <c r="IH15" s="898"/>
      <c r="II15" s="898"/>
      <c r="IJ15" s="898"/>
      <c r="IK15" s="898"/>
      <c r="IL15" s="898"/>
      <c r="IM15" s="898"/>
      <c r="IN15" s="898"/>
      <c r="IO15" s="898"/>
      <c r="IP15" s="898"/>
      <c r="IQ15" s="898"/>
      <c r="IR15" s="898"/>
      <c r="IS15" s="898"/>
      <c r="IT15" s="898"/>
      <c r="IU15" s="898"/>
      <c r="IV15" s="898"/>
    </row>
    <row r="16" spans="1:256" ht="17.25" customHeight="1">
      <c r="A16" s="894" t="s">
        <v>393</v>
      </c>
      <c r="B16" s="898"/>
      <c r="C16" s="898"/>
      <c r="D16" s="1425">
        <f>ROUND(SUM(D14),3)</f>
        <v>-1.2270000000000001</v>
      </c>
      <c r="E16" s="1426"/>
      <c r="F16" s="1425">
        <f>ROUND(SUM(F14),3)</f>
        <v>4.5250000000000004</v>
      </c>
      <c r="G16" s="1426"/>
      <c r="H16" s="1425">
        <f>ROUND(SUM(H14),3)</f>
        <v>5.0469999999999997</v>
      </c>
      <c r="I16" s="1426"/>
      <c r="J16" s="1986">
        <f>ROUND(SUM(J14),3)</f>
        <v>0</v>
      </c>
      <c r="K16" s="1426"/>
      <c r="L16" s="1425">
        <f>ROUND(SUM(L14),3)</f>
        <v>-1.7490000000000001</v>
      </c>
      <c r="M16" s="906"/>
      <c r="N16" s="898"/>
      <c r="O16" s="904"/>
      <c r="P16" s="904"/>
      <c r="Q16" s="898"/>
      <c r="R16" s="898"/>
      <c r="S16" s="898"/>
      <c r="T16" s="898"/>
      <c r="U16" s="898"/>
      <c r="V16" s="898"/>
      <c r="W16" s="898"/>
      <c r="X16" s="898"/>
      <c r="Y16" s="898"/>
      <c r="Z16" s="898"/>
      <c r="AA16" s="898"/>
      <c r="AB16" s="898"/>
      <c r="AC16" s="898"/>
      <c r="AD16" s="898"/>
      <c r="AE16" s="898"/>
      <c r="AF16" s="898"/>
      <c r="AG16" s="898"/>
      <c r="AH16" s="898"/>
      <c r="AI16" s="898"/>
      <c r="AJ16" s="898"/>
      <c r="AK16" s="898"/>
      <c r="AL16" s="898"/>
      <c r="AM16" s="898"/>
      <c r="AN16" s="898"/>
      <c r="AO16" s="898"/>
      <c r="AP16" s="898"/>
      <c r="AQ16" s="898"/>
      <c r="AR16" s="898"/>
      <c r="AS16" s="898"/>
      <c r="AT16" s="898"/>
      <c r="AU16" s="898"/>
      <c r="AV16" s="898"/>
      <c r="AW16" s="898"/>
      <c r="AX16" s="898"/>
      <c r="AY16" s="898"/>
      <c r="AZ16" s="898"/>
      <c r="BA16" s="898"/>
      <c r="BB16" s="898"/>
      <c r="BC16" s="898"/>
      <c r="BD16" s="898"/>
      <c r="BE16" s="898"/>
      <c r="BF16" s="898"/>
      <c r="BG16" s="898"/>
      <c r="BH16" s="898"/>
      <c r="BI16" s="898"/>
      <c r="BJ16" s="898"/>
      <c r="BK16" s="898"/>
      <c r="BL16" s="898"/>
      <c r="BM16" s="898"/>
      <c r="BN16" s="898"/>
      <c r="BO16" s="898"/>
      <c r="BP16" s="898"/>
      <c r="BQ16" s="898"/>
      <c r="BR16" s="898"/>
      <c r="BS16" s="898"/>
      <c r="BT16" s="898"/>
      <c r="BU16" s="898"/>
      <c r="BV16" s="898"/>
      <c r="BW16" s="898"/>
      <c r="BX16" s="898"/>
      <c r="BY16" s="898"/>
      <c r="BZ16" s="898"/>
      <c r="CA16" s="898"/>
      <c r="CB16" s="898"/>
      <c r="CC16" s="898"/>
      <c r="CD16" s="898"/>
      <c r="CE16" s="898"/>
      <c r="CF16" s="898"/>
      <c r="CG16" s="898"/>
      <c r="CH16" s="898"/>
      <c r="CI16" s="898"/>
      <c r="CJ16" s="898"/>
      <c r="CK16" s="898"/>
      <c r="CL16" s="898"/>
      <c r="CM16" s="898"/>
      <c r="CN16" s="898"/>
      <c r="CO16" s="898"/>
      <c r="CP16" s="898"/>
      <c r="CQ16" s="898"/>
      <c r="CR16" s="898"/>
      <c r="CS16" s="898"/>
      <c r="CT16" s="898"/>
      <c r="CU16" s="898"/>
      <c r="CV16" s="898"/>
      <c r="CW16" s="898"/>
      <c r="CX16" s="898"/>
      <c r="CY16" s="898"/>
      <c r="CZ16" s="898"/>
      <c r="DA16" s="898"/>
      <c r="DB16" s="898"/>
      <c r="DC16" s="898"/>
      <c r="DD16" s="898"/>
      <c r="DE16" s="898"/>
      <c r="DF16" s="898"/>
      <c r="DG16" s="898"/>
      <c r="DH16" s="898"/>
      <c r="DI16" s="898"/>
      <c r="DJ16" s="898"/>
      <c r="DK16" s="898"/>
      <c r="DL16" s="898"/>
      <c r="DM16" s="898"/>
      <c r="DN16" s="898"/>
      <c r="DO16" s="898"/>
      <c r="DP16" s="898"/>
      <c r="DQ16" s="898"/>
      <c r="DR16" s="898"/>
      <c r="DS16" s="898"/>
      <c r="DT16" s="898"/>
      <c r="DU16" s="898"/>
      <c r="DV16" s="898"/>
      <c r="DW16" s="898"/>
      <c r="DX16" s="898"/>
      <c r="DY16" s="898"/>
      <c r="DZ16" s="898"/>
      <c r="EA16" s="898"/>
      <c r="EB16" s="898"/>
      <c r="EC16" s="898"/>
      <c r="ED16" s="898"/>
      <c r="EE16" s="898"/>
      <c r="EF16" s="898"/>
      <c r="EG16" s="898"/>
      <c r="EH16" s="898"/>
      <c r="EI16" s="898"/>
      <c r="EJ16" s="898"/>
      <c r="EK16" s="898"/>
      <c r="EL16" s="898"/>
      <c r="EM16" s="898"/>
      <c r="EN16" s="898"/>
      <c r="EO16" s="898"/>
      <c r="EP16" s="898"/>
      <c r="EQ16" s="898"/>
      <c r="ER16" s="898"/>
      <c r="ES16" s="898"/>
      <c r="ET16" s="898"/>
      <c r="EU16" s="898"/>
      <c r="EV16" s="898"/>
      <c r="EW16" s="898"/>
      <c r="EX16" s="898"/>
      <c r="EY16" s="898"/>
      <c r="EZ16" s="898"/>
      <c r="FA16" s="898"/>
      <c r="FB16" s="898"/>
      <c r="FC16" s="898"/>
      <c r="FD16" s="898"/>
      <c r="FE16" s="898"/>
      <c r="FF16" s="898"/>
      <c r="FG16" s="898"/>
      <c r="FH16" s="898"/>
      <c r="FI16" s="898"/>
      <c r="FJ16" s="898"/>
      <c r="FK16" s="898"/>
      <c r="FL16" s="898"/>
      <c r="FM16" s="898"/>
      <c r="FN16" s="898"/>
      <c r="FO16" s="898"/>
      <c r="FP16" s="898"/>
      <c r="FQ16" s="898"/>
      <c r="FR16" s="898"/>
      <c r="FS16" s="898"/>
      <c r="FT16" s="898"/>
      <c r="FU16" s="898"/>
      <c r="FV16" s="898"/>
      <c r="FW16" s="898"/>
      <c r="FX16" s="898"/>
      <c r="FY16" s="898"/>
      <c r="FZ16" s="898"/>
      <c r="GA16" s="898"/>
      <c r="GB16" s="898"/>
      <c r="GC16" s="898"/>
      <c r="GD16" s="898"/>
      <c r="GE16" s="898"/>
      <c r="GF16" s="898"/>
      <c r="GG16" s="898"/>
      <c r="GH16" s="898"/>
      <c r="GI16" s="898"/>
      <c r="GJ16" s="898"/>
      <c r="GK16" s="898"/>
      <c r="GL16" s="898"/>
      <c r="GM16" s="898"/>
      <c r="GN16" s="898"/>
      <c r="GO16" s="898"/>
      <c r="GP16" s="898"/>
      <c r="GQ16" s="898"/>
      <c r="GR16" s="898"/>
      <c r="GS16" s="898"/>
      <c r="GT16" s="898"/>
      <c r="GU16" s="898"/>
      <c r="GV16" s="898"/>
      <c r="GW16" s="898"/>
      <c r="GX16" s="898"/>
      <c r="GY16" s="898"/>
      <c r="GZ16" s="898"/>
      <c r="HA16" s="898"/>
      <c r="HB16" s="898"/>
      <c r="HC16" s="898"/>
      <c r="HD16" s="898"/>
      <c r="HE16" s="898"/>
      <c r="HF16" s="898"/>
      <c r="HG16" s="898"/>
      <c r="HH16" s="898"/>
      <c r="HI16" s="898"/>
      <c r="HJ16" s="898"/>
      <c r="HK16" s="898"/>
      <c r="HL16" s="898"/>
      <c r="HM16" s="898"/>
      <c r="HN16" s="898"/>
      <c r="HO16" s="898"/>
      <c r="HP16" s="898"/>
      <c r="HQ16" s="898"/>
      <c r="HR16" s="898"/>
      <c r="HS16" s="898"/>
      <c r="HT16" s="898"/>
      <c r="HU16" s="898"/>
      <c r="HV16" s="898"/>
      <c r="HW16" s="898"/>
      <c r="HX16" s="898"/>
      <c r="HY16" s="898"/>
      <c r="HZ16" s="898"/>
      <c r="IA16" s="898"/>
      <c r="IB16" s="898"/>
      <c r="IC16" s="898"/>
      <c r="ID16" s="898"/>
      <c r="IE16" s="898"/>
      <c r="IF16" s="898"/>
      <c r="IG16" s="898"/>
      <c r="IH16" s="898"/>
      <c r="II16" s="898"/>
      <c r="IJ16" s="898"/>
      <c r="IK16" s="898"/>
      <c r="IL16" s="898"/>
      <c r="IM16" s="898"/>
      <c r="IN16" s="898"/>
      <c r="IO16" s="898"/>
      <c r="IP16" s="898"/>
      <c r="IQ16" s="898"/>
      <c r="IR16" s="898"/>
      <c r="IS16" s="898"/>
      <c r="IT16" s="898"/>
      <c r="IU16" s="898"/>
      <c r="IV16" s="898"/>
    </row>
    <row r="17" spans="1:256" ht="12" customHeight="1">
      <c r="A17" s="894"/>
      <c r="B17" s="898"/>
      <c r="C17" s="898"/>
      <c r="D17" s="1427"/>
      <c r="E17" s="865"/>
      <c r="F17" s="1427"/>
      <c r="G17" s="865"/>
      <c r="H17" s="1427"/>
      <c r="I17" s="865"/>
      <c r="J17" s="869"/>
      <c r="K17" s="865"/>
      <c r="L17" s="1427"/>
      <c r="M17" s="905"/>
      <c r="N17" s="898"/>
      <c r="O17" s="904"/>
      <c r="P17" s="904"/>
      <c r="Q17" s="898"/>
      <c r="R17" s="898"/>
      <c r="S17" s="898"/>
      <c r="T17" s="898"/>
      <c r="U17" s="898"/>
      <c r="V17" s="898"/>
      <c r="W17" s="898"/>
      <c r="X17" s="898"/>
      <c r="Y17" s="898"/>
      <c r="Z17" s="898"/>
      <c r="AA17" s="898"/>
      <c r="AB17" s="898"/>
      <c r="AC17" s="898"/>
      <c r="AD17" s="898"/>
      <c r="AE17" s="898"/>
      <c r="AF17" s="898"/>
      <c r="AG17" s="898"/>
      <c r="AH17" s="898"/>
      <c r="AI17" s="898"/>
      <c r="AJ17" s="898"/>
      <c r="AK17" s="898"/>
      <c r="AL17" s="898"/>
      <c r="AM17" s="898"/>
      <c r="AN17" s="898"/>
      <c r="AO17" s="898"/>
      <c r="AP17" s="898"/>
      <c r="AQ17" s="898"/>
      <c r="AR17" s="898"/>
      <c r="AS17" s="898"/>
      <c r="AT17" s="898"/>
      <c r="AU17" s="898"/>
      <c r="AV17" s="898"/>
      <c r="AW17" s="898"/>
      <c r="AX17" s="898"/>
      <c r="AY17" s="898"/>
      <c r="AZ17" s="898"/>
      <c r="BA17" s="898"/>
      <c r="BB17" s="898"/>
      <c r="BC17" s="898"/>
      <c r="BD17" s="898"/>
      <c r="BE17" s="898"/>
      <c r="BF17" s="898"/>
      <c r="BG17" s="898"/>
      <c r="BH17" s="898"/>
      <c r="BI17" s="898"/>
      <c r="BJ17" s="898"/>
      <c r="BK17" s="898"/>
      <c r="BL17" s="898"/>
      <c r="BM17" s="898"/>
      <c r="BN17" s="898"/>
      <c r="BO17" s="898"/>
      <c r="BP17" s="898"/>
      <c r="BQ17" s="898"/>
      <c r="BR17" s="898"/>
      <c r="BS17" s="898"/>
      <c r="BT17" s="898"/>
      <c r="BU17" s="898"/>
      <c r="BV17" s="898"/>
      <c r="BW17" s="898"/>
      <c r="BX17" s="898"/>
      <c r="BY17" s="898"/>
      <c r="BZ17" s="898"/>
      <c r="CA17" s="898"/>
      <c r="CB17" s="898"/>
      <c r="CC17" s="898"/>
      <c r="CD17" s="898"/>
      <c r="CE17" s="898"/>
      <c r="CF17" s="898"/>
      <c r="CG17" s="898"/>
      <c r="CH17" s="898"/>
      <c r="CI17" s="898"/>
      <c r="CJ17" s="898"/>
      <c r="CK17" s="898"/>
      <c r="CL17" s="898"/>
      <c r="CM17" s="898"/>
      <c r="CN17" s="898"/>
      <c r="CO17" s="898"/>
      <c r="CP17" s="898"/>
      <c r="CQ17" s="898"/>
      <c r="CR17" s="898"/>
      <c r="CS17" s="898"/>
      <c r="CT17" s="898"/>
      <c r="CU17" s="898"/>
      <c r="CV17" s="898"/>
      <c r="CW17" s="898"/>
      <c r="CX17" s="898"/>
      <c r="CY17" s="898"/>
      <c r="CZ17" s="898"/>
      <c r="DA17" s="898"/>
      <c r="DB17" s="898"/>
      <c r="DC17" s="898"/>
      <c r="DD17" s="898"/>
      <c r="DE17" s="898"/>
      <c r="DF17" s="898"/>
      <c r="DG17" s="898"/>
      <c r="DH17" s="898"/>
      <c r="DI17" s="898"/>
      <c r="DJ17" s="898"/>
      <c r="DK17" s="898"/>
      <c r="DL17" s="898"/>
      <c r="DM17" s="898"/>
      <c r="DN17" s="898"/>
      <c r="DO17" s="898"/>
      <c r="DP17" s="898"/>
      <c r="DQ17" s="898"/>
      <c r="DR17" s="898"/>
      <c r="DS17" s="898"/>
      <c r="DT17" s="898"/>
      <c r="DU17" s="898"/>
      <c r="DV17" s="898"/>
      <c r="DW17" s="898"/>
      <c r="DX17" s="898"/>
      <c r="DY17" s="898"/>
      <c r="DZ17" s="898"/>
      <c r="EA17" s="898"/>
      <c r="EB17" s="898"/>
      <c r="EC17" s="898"/>
      <c r="ED17" s="898"/>
      <c r="EE17" s="898"/>
      <c r="EF17" s="898"/>
      <c r="EG17" s="898"/>
      <c r="EH17" s="898"/>
      <c r="EI17" s="898"/>
      <c r="EJ17" s="898"/>
      <c r="EK17" s="898"/>
      <c r="EL17" s="898"/>
      <c r="EM17" s="898"/>
      <c r="EN17" s="898"/>
      <c r="EO17" s="898"/>
      <c r="EP17" s="898"/>
      <c r="EQ17" s="898"/>
      <c r="ER17" s="898"/>
      <c r="ES17" s="898"/>
      <c r="ET17" s="898"/>
      <c r="EU17" s="898"/>
      <c r="EV17" s="898"/>
      <c r="EW17" s="898"/>
      <c r="EX17" s="898"/>
      <c r="EY17" s="898"/>
      <c r="EZ17" s="898"/>
      <c r="FA17" s="898"/>
      <c r="FB17" s="898"/>
      <c r="FC17" s="898"/>
      <c r="FD17" s="898"/>
      <c r="FE17" s="898"/>
      <c r="FF17" s="898"/>
      <c r="FG17" s="898"/>
      <c r="FH17" s="898"/>
      <c r="FI17" s="898"/>
      <c r="FJ17" s="898"/>
      <c r="FK17" s="898"/>
      <c r="FL17" s="898"/>
      <c r="FM17" s="898"/>
      <c r="FN17" s="898"/>
      <c r="FO17" s="898"/>
      <c r="FP17" s="898"/>
      <c r="FQ17" s="898"/>
      <c r="FR17" s="898"/>
      <c r="FS17" s="898"/>
      <c r="FT17" s="898"/>
      <c r="FU17" s="898"/>
      <c r="FV17" s="898"/>
      <c r="FW17" s="898"/>
      <c r="FX17" s="898"/>
      <c r="FY17" s="898"/>
      <c r="FZ17" s="898"/>
      <c r="GA17" s="898"/>
      <c r="GB17" s="898"/>
      <c r="GC17" s="898"/>
      <c r="GD17" s="898"/>
      <c r="GE17" s="898"/>
      <c r="GF17" s="898"/>
      <c r="GG17" s="898"/>
      <c r="GH17" s="898"/>
      <c r="GI17" s="898"/>
      <c r="GJ17" s="898"/>
      <c r="GK17" s="898"/>
      <c r="GL17" s="898"/>
      <c r="GM17" s="898"/>
      <c r="GN17" s="898"/>
      <c r="GO17" s="898"/>
      <c r="GP17" s="898"/>
      <c r="GQ17" s="898"/>
      <c r="GR17" s="898"/>
      <c r="GS17" s="898"/>
      <c r="GT17" s="898"/>
      <c r="GU17" s="898"/>
      <c r="GV17" s="898"/>
      <c r="GW17" s="898"/>
      <c r="GX17" s="898"/>
      <c r="GY17" s="898"/>
      <c r="GZ17" s="898"/>
      <c r="HA17" s="898"/>
      <c r="HB17" s="898"/>
      <c r="HC17" s="898"/>
      <c r="HD17" s="898"/>
      <c r="HE17" s="898"/>
      <c r="HF17" s="898"/>
      <c r="HG17" s="898"/>
      <c r="HH17" s="898"/>
      <c r="HI17" s="898"/>
      <c r="HJ17" s="898"/>
      <c r="HK17" s="898"/>
      <c r="HL17" s="898"/>
      <c r="HM17" s="898"/>
      <c r="HN17" s="898"/>
      <c r="HO17" s="898"/>
      <c r="HP17" s="898"/>
      <c r="HQ17" s="898"/>
      <c r="HR17" s="898"/>
      <c r="HS17" s="898"/>
      <c r="HT17" s="898"/>
      <c r="HU17" s="898"/>
      <c r="HV17" s="898"/>
      <c r="HW17" s="898"/>
      <c r="HX17" s="898"/>
      <c r="HY17" s="898"/>
      <c r="HZ17" s="898"/>
      <c r="IA17" s="898"/>
      <c r="IB17" s="898"/>
      <c r="IC17" s="898"/>
      <c r="ID17" s="898"/>
      <c r="IE17" s="898"/>
      <c r="IF17" s="898"/>
      <c r="IG17" s="898"/>
      <c r="IH17" s="898"/>
      <c r="II17" s="898"/>
      <c r="IJ17" s="898"/>
      <c r="IK17" s="898"/>
      <c r="IL17" s="898"/>
      <c r="IM17" s="898"/>
      <c r="IN17" s="898"/>
      <c r="IO17" s="898"/>
      <c r="IP17" s="898"/>
      <c r="IQ17" s="898"/>
      <c r="IR17" s="898"/>
      <c r="IS17" s="898"/>
      <c r="IT17" s="898"/>
      <c r="IU17" s="898"/>
      <c r="IV17" s="898"/>
    </row>
    <row r="18" spans="1:256" ht="18" customHeight="1">
      <c r="A18" s="907" t="s">
        <v>241</v>
      </c>
      <c r="B18" s="894"/>
      <c r="C18" s="894"/>
      <c r="D18" s="1428"/>
      <c r="E18" s="1428"/>
      <c r="F18" s="1428"/>
      <c r="G18" s="1428"/>
      <c r="H18" s="1428"/>
      <c r="I18" s="1428"/>
      <c r="J18" s="1428"/>
      <c r="K18" s="1428"/>
      <c r="L18" s="1428"/>
      <c r="M18" s="896"/>
      <c r="N18" s="898"/>
      <c r="O18" s="898"/>
      <c r="P18" s="898"/>
      <c r="Q18" s="898"/>
      <c r="R18" s="898"/>
      <c r="S18" s="898"/>
      <c r="T18" s="898"/>
      <c r="U18" s="898"/>
      <c r="V18" s="898"/>
      <c r="W18" s="898"/>
      <c r="X18" s="898"/>
      <c r="Y18" s="898"/>
      <c r="Z18" s="898"/>
      <c r="AA18" s="898"/>
      <c r="AB18" s="898"/>
      <c r="AC18" s="898"/>
      <c r="AD18" s="898"/>
      <c r="AE18" s="898"/>
      <c r="AF18" s="898"/>
      <c r="AG18" s="898"/>
      <c r="AH18" s="898"/>
      <c r="AI18" s="898"/>
      <c r="AJ18" s="898"/>
      <c r="AK18" s="898"/>
      <c r="AL18" s="898"/>
      <c r="AM18" s="898"/>
      <c r="AN18" s="898"/>
      <c r="AO18" s="898"/>
      <c r="AP18" s="898"/>
      <c r="AQ18" s="898"/>
      <c r="AR18" s="898"/>
      <c r="AS18" s="898"/>
      <c r="AT18" s="898"/>
      <c r="AU18" s="898"/>
      <c r="AV18" s="898"/>
      <c r="AW18" s="898"/>
      <c r="AX18" s="898"/>
      <c r="AY18" s="898"/>
      <c r="AZ18" s="898"/>
      <c r="BA18" s="898"/>
      <c r="BB18" s="898"/>
      <c r="BC18" s="898"/>
      <c r="BD18" s="898"/>
      <c r="BE18" s="898"/>
      <c r="BF18" s="898"/>
      <c r="BG18" s="898"/>
      <c r="BH18" s="898"/>
      <c r="BI18" s="898"/>
      <c r="BJ18" s="898"/>
      <c r="BK18" s="898"/>
      <c r="BL18" s="898"/>
      <c r="BM18" s="898"/>
      <c r="BN18" s="898"/>
      <c r="BO18" s="898"/>
      <c r="BP18" s="898"/>
      <c r="BQ18" s="898"/>
      <c r="BR18" s="898"/>
      <c r="BS18" s="898"/>
      <c r="BT18" s="898"/>
      <c r="BU18" s="898"/>
      <c r="BV18" s="898"/>
      <c r="BW18" s="898"/>
      <c r="BX18" s="898"/>
      <c r="BY18" s="898"/>
      <c r="BZ18" s="898"/>
      <c r="CA18" s="898"/>
      <c r="CB18" s="898"/>
      <c r="CC18" s="898"/>
      <c r="CD18" s="898"/>
      <c r="CE18" s="898"/>
      <c r="CF18" s="898"/>
      <c r="CG18" s="898"/>
      <c r="CH18" s="898"/>
      <c r="CI18" s="898"/>
      <c r="CJ18" s="898"/>
      <c r="CK18" s="898"/>
      <c r="CL18" s="898"/>
      <c r="CM18" s="898"/>
      <c r="CN18" s="898"/>
      <c r="CO18" s="898"/>
      <c r="CP18" s="898"/>
      <c r="CQ18" s="898"/>
      <c r="CR18" s="898"/>
      <c r="CS18" s="898"/>
      <c r="CT18" s="898"/>
      <c r="CU18" s="898"/>
      <c r="CV18" s="898"/>
      <c r="CW18" s="898"/>
      <c r="CX18" s="898"/>
      <c r="CY18" s="898"/>
      <c r="CZ18" s="898"/>
      <c r="DA18" s="898"/>
      <c r="DB18" s="898"/>
      <c r="DC18" s="898"/>
      <c r="DD18" s="898"/>
      <c r="DE18" s="898"/>
      <c r="DF18" s="898"/>
      <c r="DG18" s="898"/>
      <c r="DH18" s="898"/>
      <c r="DI18" s="898"/>
      <c r="DJ18" s="898"/>
      <c r="DK18" s="898"/>
      <c r="DL18" s="898"/>
      <c r="DM18" s="898"/>
      <c r="DN18" s="898"/>
      <c r="DO18" s="898"/>
      <c r="DP18" s="898"/>
      <c r="DQ18" s="898"/>
      <c r="DR18" s="898"/>
      <c r="DS18" s="898"/>
      <c r="DT18" s="898"/>
      <c r="DU18" s="898"/>
      <c r="DV18" s="898"/>
      <c r="DW18" s="898"/>
      <c r="DX18" s="898"/>
      <c r="DY18" s="898"/>
      <c r="DZ18" s="898"/>
      <c r="EA18" s="898"/>
      <c r="EB18" s="898"/>
      <c r="EC18" s="898"/>
      <c r="ED18" s="898"/>
      <c r="EE18" s="898"/>
      <c r="EF18" s="898"/>
      <c r="EG18" s="898"/>
      <c r="EH18" s="898"/>
      <c r="EI18" s="898"/>
      <c r="EJ18" s="898"/>
      <c r="EK18" s="898"/>
      <c r="EL18" s="898"/>
      <c r="EM18" s="898"/>
      <c r="EN18" s="898"/>
      <c r="EO18" s="898"/>
      <c r="EP18" s="898"/>
      <c r="EQ18" s="898"/>
      <c r="ER18" s="898"/>
      <c r="ES18" s="898"/>
      <c r="ET18" s="898"/>
      <c r="EU18" s="898"/>
      <c r="EV18" s="898"/>
      <c r="EW18" s="898"/>
      <c r="EX18" s="898"/>
      <c r="EY18" s="898"/>
      <c r="EZ18" s="898"/>
      <c r="FA18" s="898"/>
      <c r="FB18" s="898"/>
      <c r="FC18" s="898"/>
      <c r="FD18" s="898"/>
      <c r="FE18" s="898"/>
      <c r="FF18" s="898"/>
      <c r="FG18" s="898"/>
      <c r="FH18" s="898"/>
      <c r="FI18" s="898"/>
      <c r="FJ18" s="898"/>
      <c r="FK18" s="898"/>
      <c r="FL18" s="898"/>
      <c r="FM18" s="898"/>
      <c r="FN18" s="898"/>
      <c r="FO18" s="898"/>
      <c r="FP18" s="898"/>
      <c r="FQ18" s="898"/>
      <c r="FR18" s="898"/>
      <c r="FS18" s="898"/>
      <c r="FT18" s="898"/>
      <c r="FU18" s="898"/>
      <c r="FV18" s="898"/>
      <c r="FW18" s="898"/>
      <c r="FX18" s="898"/>
      <c r="FY18" s="898"/>
      <c r="FZ18" s="898"/>
      <c r="GA18" s="898"/>
      <c r="GB18" s="898"/>
      <c r="GC18" s="898"/>
      <c r="GD18" s="898"/>
      <c r="GE18" s="898"/>
      <c r="GF18" s="898"/>
      <c r="GG18" s="898"/>
      <c r="GH18" s="898"/>
      <c r="GI18" s="898"/>
      <c r="GJ18" s="898"/>
      <c r="GK18" s="898"/>
      <c r="GL18" s="898"/>
      <c r="GM18" s="898"/>
      <c r="GN18" s="898"/>
      <c r="GO18" s="898"/>
      <c r="GP18" s="898"/>
      <c r="GQ18" s="898"/>
      <c r="GR18" s="898"/>
      <c r="GS18" s="898"/>
      <c r="GT18" s="898"/>
      <c r="GU18" s="898"/>
      <c r="GV18" s="898"/>
      <c r="GW18" s="898"/>
      <c r="GX18" s="898"/>
      <c r="GY18" s="898"/>
      <c r="GZ18" s="898"/>
      <c r="HA18" s="898"/>
      <c r="HB18" s="898"/>
      <c r="HC18" s="898"/>
      <c r="HD18" s="898"/>
      <c r="HE18" s="898"/>
      <c r="HF18" s="898"/>
      <c r="HG18" s="898"/>
      <c r="HH18" s="898"/>
      <c r="HI18" s="898"/>
      <c r="HJ18" s="898"/>
      <c r="HK18" s="898"/>
      <c r="HL18" s="898"/>
      <c r="HM18" s="898"/>
      <c r="HN18" s="898"/>
      <c r="HO18" s="898"/>
      <c r="HP18" s="898"/>
      <c r="HQ18" s="898"/>
      <c r="HR18" s="898"/>
      <c r="HS18" s="898"/>
      <c r="HT18" s="898"/>
      <c r="HU18" s="898"/>
      <c r="HV18" s="898"/>
      <c r="HW18" s="898"/>
      <c r="HX18" s="898"/>
      <c r="HY18" s="898"/>
      <c r="HZ18" s="898"/>
      <c r="IA18" s="898"/>
      <c r="IB18" s="898"/>
      <c r="IC18" s="898"/>
      <c r="ID18" s="898"/>
      <c r="IE18" s="898"/>
      <c r="IF18" s="898"/>
      <c r="IG18" s="898"/>
      <c r="IH18" s="898"/>
      <c r="II18" s="898"/>
      <c r="IJ18" s="898"/>
      <c r="IK18" s="898"/>
      <c r="IL18" s="898"/>
      <c r="IM18" s="898"/>
      <c r="IN18" s="898"/>
      <c r="IO18" s="898"/>
      <c r="IP18" s="898"/>
      <c r="IQ18" s="898"/>
      <c r="IR18" s="898"/>
      <c r="IS18" s="898"/>
      <c r="IT18" s="898"/>
      <c r="IU18" s="898"/>
      <c r="IV18" s="898"/>
    </row>
    <row r="19" spans="1:256" ht="7.5" customHeight="1">
      <c r="A19" s="894"/>
      <c r="B19" s="894"/>
      <c r="C19" s="894"/>
      <c r="D19" s="1428"/>
      <c r="E19" s="1428"/>
      <c r="F19" s="1428"/>
      <c r="G19" s="1428"/>
      <c r="H19" s="1428"/>
      <c r="I19" s="1428"/>
      <c r="J19" s="1428"/>
      <c r="K19" s="1428"/>
      <c r="L19" s="865"/>
      <c r="M19" s="896"/>
      <c r="N19" s="898"/>
      <c r="O19" s="898"/>
      <c r="P19" s="898"/>
      <c r="Q19" s="898"/>
      <c r="R19" s="898"/>
      <c r="S19" s="898"/>
      <c r="T19" s="898"/>
      <c r="U19" s="898"/>
      <c r="V19" s="898"/>
      <c r="W19" s="898"/>
      <c r="X19" s="898"/>
      <c r="Y19" s="898"/>
      <c r="Z19" s="898"/>
      <c r="AA19" s="898"/>
      <c r="AB19" s="898"/>
      <c r="AC19" s="898"/>
      <c r="AD19" s="898"/>
      <c r="AE19" s="898"/>
      <c r="AF19" s="898"/>
      <c r="AG19" s="898"/>
      <c r="AH19" s="898"/>
      <c r="AI19" s="898"/>
      <c r="AJ19" s="898"/>
      <c r="AK19" s="898"/>
      <c r="AL19" s="898"/>
      <c r="AM19" s="898"/>
      <c r="AN19" s="898"/>
      <c r="AO19" s="898"/>
      <c r="AP19" s="898"/>
      <c r="AQ19" s="898"/>
      <c r="AR19" s="898"/>
      <c r="AS19" s="898"/>
      <c r="AT19" s="898"/>
      <c r="AU19" s="898"/>
      <c r="AV19" s="898"/>
      <c r="AW19" s="898"/>
      <c r="AX19" s="898"/>
      <c r="AY19" s="898"/>
      <c r="AZ19" s="898"/>
      <c r="BA19" s="898"/>
      <c r="BB19" s="898"/>
      <c r="BC19" s="898"/>
      <c r="BD19" s="898"/>
      <c r="BE19" s="898"/>
      <c r="BF19" s="898"/>
      <c r="BG19" s="898"/>
      <c r="BH19" s="898"/>
      <c r="BI19" s="898"/>
      <c r="BJ19" s="898"/>
      <c r="BK19" s="898"/>
      <c r="BL19" s="898"/>
      <c r="BM19" s="898"/>
      <c r="BN19" s="898"/>
      <c r="BO19" s="898"/>
      <c r="BP19" s="898"/>
      <c r="BQ19" s="898"/>
      <c r="BR19" s="898"/>
      <c r="BS19" s="898"/>
      <c r="BT19" s="898"/>
      <c r="BU19" s="898"/>
      <c r="BV19" s="898"/>
      <c r="BW19" s="898"/>
      <c r="BX19" s="898"/>
      <c r="BY19" s="898"/>
      <c r="BZ19" s="898"/>
      <c r="CA19" s="898"/>
      <c r="CB19" s="898"/>
      <c r="CC19" s="898"/>
      <c r="CD19" s="898"/>
      <c r="CE19" s="898"/>
      <c r="CF19" s="898"/>
      <c r="CG19" s="898"/>
      <c r="CH19" s="898"/>
      <c r="CI19" s="898"/>
      <c r="CJ19" s="898"/>
      <c r="CK19" s="898"/>
      <c r="CL19" s="898"/>
      <c r="CM19" s="898"/>
      <c r="CN19" s="898"/>
      <c r="CO19" s="898"/>
      <c r="CP19" s="898"/>
      <c r="CQ19" s="898"/>
      <c r="CR19" s="898"/>
      <c r="CS19" s="898"/>
      <c r="CT19" s="898"/>
      <c r="CU19" s="898"/>
      <c r="CV19" s="898"/>
      <c r="CW19" s="898"/>
      <c r="CX19" s="898"/>
      <c r="CY19" s="898"/>
      <c r="CZ19" s="898"/>
      <c r="DA19" s="898"/>
      <c r="DB19" s="898"/>
      <c r="DC19" s="898"/>
      <c r="DD19" s="898"/>
      <c r="DE19" s="898"/>
      <c r="DF19" s="898"/>
      <c r="DG19" s="898"/>
      <c r="DH19" s="898"/>
      <c r="DI19" s="898"/>
      <c r="DJ19" s="898"/>
      <c r="DK19" s="898"/>
      <c r="DL19" s="898"/>
      <c r="DM19" s="898"/>
      <c r="DN19" s="898"/>
      <c r="DO19" s="898"/>
      <c r="DP19" s="898"/>
      <c r="DQ19" s="898"/>
      <c r="DR19" s="898"/>
      <c r="DS19" s="898"/>
      <c r="DT19" s="898"/>
      <c r="DU19" s="898"/>
      <c r="DV19" s="898"/>
      <c r="DW19" s="898"/>
      <c r="DX19" s="898"/>
      <c r="DY19" s="898"/>
      <c r="DZ19" s="898"/>
      <c r="EA19" s="898"/>
      <c r="EB19" s="898"/>
      <c r="EC19" s="898"/>
      <c r="ED19" s="898"/>
      <c r="EE19" s="898"/>
      <c r="EF19" s="898"/>
      <c r="EG19" s="898"/>
      <c r="EH19" s="898"/>
      <c r="EI19" s="898"/>
      <c r="EJ19" s="898"/>
      <c r="EK19" s="898"/>
      <c r="EL19" s="898"/>
      <c r="EM19" s="898"/>
      <c r="EN19" s="898"/>
      <c r="EO19" s="898"/>
      <c r="EP19" s="898"/>
      <c r="EQ19" s="898"/>
      <c r="ER19" s="898"/>
      <c r="ES19" s="898"/>
      <c r="ET19" s="898"/>
      <c r="EU19" s="898"/>
      <c r="EV19" s="898"/>
      <c r="EW19" s="898"/>
      <c r="EX19" s="898"/>
      <c r="EY19" s="898"/>
      <c r="EZ19" s="898"/>
      <c r="FA19" s="898"/>
      <c r="FB19" s="898"/>
      <c r="FC19" s="898"/>
      <c r="FD19" s="898"/>
      <c r="FE19" s="898"/>
      <c r="FF19" s="898"/>
      <c r="FG19" s="898"/>
      <c r="FH19" s="898"/>
      <c r="FI19" s="898"/>
      <c r="FJ19" s="898"/>
      <c r="FK19" s="898"/>
      <c r="FL19" s="898"/>
      <c r="FM19" s="898"/>
      <c r="FN19" s="898"/>
      <c r="FO19" s="898"/>
      <c r="FP19" s="898"/>
      <c r="FQ19" s="898"/>
      <c r="FR19" s="898"/>
      <c r="FS19" s="898"/>
      <c r="FT19" s="898"/>
      <c r="FU19" s="898"/>
      <c r="FV19" s="898"/>
      <c r="FW19" s="898"/>
      <c r="FX19" s="898"/>
      <c r="FY19" s="898"/>
      <c r="FZ19" s="898"/>
      <c r="GA19" s="898"/>
      <c r="GB19" s="898"/>
      <c r="GC19" s="898"/>
      <c r="GD19" s="898"/>
      <c r="GE19" s="898"/>
      <c r="GF19" s="898"/>
      <c r="GG19" s="898"/>
      <c r="GH19" s="898"/>
      <c r="GI19" s="898"/>
      <c r="GJ19" s="898"/>
      <c r="GK19" s="898"/>
      <c r="GL19" s="898"/>
      <c r="GM19" s="898"/>
      <c r="GN19" s="898"/>
      <c r="GO19" s="898"/>
      <c r="GP19" s="898"/>
      <c r="GQ19" s="898"/>
      <c r="GR19" s="898"/>
      <c r="GS19" s="898"/>
      <c r="GT19" s="898"/>
      <c r="GU19" s="898"/>
      <c r="GV19" s="898"/>
      <c r="GW19" s="898"/>
      <c r="GX19" s="898"/>
      <c r="GY19" s="898"/>
      <c r="GZ19" s="898"/>
      <c r="HA19" s="898"/>
      <c r="HB19" s="898"/>
      <c r="HC19" s="898"/>
      <c r="HD19" s="898"/>
      <c r="HE19" s="898"/>
      <c r="HF19" s="898"/>
      <c r="HG19" s="898"/>
      <c r="HH19" s="898"/>
      <c r="HI19" s="898"/>
      <c r="HJ19" s="898"/>
      <c r="HK19" s="898"/>
      <c r="HL19" s="898"/>
      <c r="HM19" s="898"/>
      <c r="HN19" s="898"/>
      <c r="HO19" s="898"/>
      <c r="HP19" s="898"/>
      <c r="HQ19" s="898"/>
      <c r="HR19" s="898"/>
      <c r="HS19" s="898"/>
      <c r="HT19" s="898"/>
      <c r="HU19" s="898"/>
      <c r="HV19" s="898"/>
      <c r="HW19" s="898"/>
      <c r="HX19" s="898"/>
      <c r="HY19" s="898"/>
      <c r="HZ19" s="898"/>
      <c r="IA19" s="898"/>
      <c r="IB19" s="898"/>
      <c r="IC19" s="898"/>
      <c r="ID19" s="898"/>
      <c r="IE19" s="898"/>
      <c r="IF19" s="898"/>
      <c r="IG19" s="898"/>
      <c r="IH19" s="898"/>
      <c r="II19" s="898"/>
      <c r="IJ19" s="898"/>
      <c r="IK19" s="898"/>
      <c r="IL19" s="898"/>
      <c r="IM19" s="898"/>
      <c r="IN19" s="898"/>
      <c r="IO19" s="898"/>
      <c r="IP19" s="898"/>
      <c r="IQ19" s="898"/>
      <c r="IR19" s="898"/>
      <c r="IS19" s="898"/>
      <c r="IT19" s="898"/>
      <c r="IU19" s="898"/>
      <c r="IV19" s="898"/>
    </row>
    <row r="20" spans="1:256" ht="16.5" customHeight="1">
      <c r="A20" s="1429" t="s">
        <v>394</v>
      </c>
      <c r="B20" s="894"/>
      <c r="C20" s="916"/>
      <c r="D20" s="865">
        <v>2.2389999999999999</v>
      </c>
      <c r="E20" s="864"/>
      <c r="F20" s="1385">
        <v>1E-3</v>
      </c>
      <c r="G20" s="864"/>
      <c r="H20" s="867">
        <v>7.0000000000000001E-3</v>
      </c>
      <c r="I20" s="864"/>
      <c r="J20" s="1430">
        <v>0</v>
      </c>
      <c r="K20" s="864"/>
      <c r="L20" s="865">
        <f>ROUND(D20+F20-H20+J20,3)</f>
        <v>2.2330000000000001</v>
      </c>
      <c r="M20" s="896"/>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898"/>
      <c r="AK20" s="898"/>
      <c r="AL20" s="898"/>
      <c r="AM20" s="898"/>
      <c r="AN20" s="898"/>
      <c r="AO20" s="898"/>
      <c r="AP20" s="898"/>
      <c r="AQ20" s="898"/>
      <c r="AR20" s="898"/>
      <c r="AS20" s="898"/>
      <c r="AT20" s="898"/>
      <c r="AU20" s="898"/>
      <c r="AV20" s="898"/>
      <c r="AW20" s="898"/>
      <c r="AX20" s="898"/>
      <c r="AY20" s="898"/>
      <c r="AZ20" s="898"/>
      <c r="BA20" s="898"/>
      <c r="BB20" s="898"/>
      <c r="BC20" s="898"/>
      <c r="BD20" s="898"/>
      <c r="BE20" s="898"/>
      <c r="BF20" s="898"/>
      <c r="BG20" s="898"/>
      <c r="BH20" s="898"/>
      <c r="BI20" s="898"/>
      <c r="BJ20" s="898"/>
      <c r="BK20" s="898"/>
      <c r="BL20" s="898"/>
      <c r="BM20" s="898"/>
      <c r="BN20" s="898"/>
      <c r="BO20" s="898"/>
      <c r="BP20" s="898"/>
      <c r="BQ20" s="898"/>
      <c r="BR20" s="898"/>
      <c r="BS20" s="898"/>
      <c r="BT20" s="898"/>
      <c r="BU20" s="898"/>
      <c r="BV20" s="898"/>
      <c r="BW20" s="898"/>
      <c r="BX20" s="898"/>
      <c r="BY20" s="898"/>
      <c r="BZ20" s="898"/>
      <c r="CA20" s="898"/>
      <c r="CB20" s="898"/>
      <c r="CC20" s="898"/>
      <c r="CD20" s="898"/>
      <c r="CE20" s="898"/>
      <c r="CF20" s="898"/>
      <c r="CG20" s="898"/>
      <c r="CH20" s="898"/>
      <c r="CI20" s="898"/>
      <c r="CJ20" s="898"/>
      <c r="CK20" s="898"/>
      <c r="CL20" s="898"/>
      <c r="CM20" s="898"/>
      <c r="CN20" s="898"/>
      <c r="CO20" s="898"/>
      <c r="CP20" s="898"/>
      <c r="CQ20" s="898"/>
      <c r="CR20" s="898"/>
      <c r="CS20" s="898"/>
      <c r="CT20" s="898"/>
      <c r="CU20" s="898"/>
      <c r="CV20" s="898"/>
      <c r="CW20" s="898"/>
      <c r="CX20" s="898"/>
      <c r="CY20" s="898"/>
      <c r="CZ20" s="898"/>
      <c r="DA20" s="898"/>
      <c r="DB20" s="898"/>
      <c r="DC20" s="898"/>
      <c r="DD20" s="898"/>
      <c r="DE20" s="898"/>
      <c r="DF20" s="898"/>
      <c r="DG20" s="898"/>
      <c r="DH20" s="898"/>
      <c r="DI20" s="898"/>
      <c r="DJ20" s="898"/>
      <c r="DK20" s="898"/>
      <c r="DL20" s="898"/>
      <c r="DM20" s="898"/>
      <c r="DN20" s="898"/>
      <c r="DO20" s="898"/>
      <c r="DP20" s="898"/>
      <c r="DQ20" s="898"/>
      <c r="DR20" s="898"/>
      <c r="DS20" s="898"/>
      <c r="DT20" s="898"/>
      <c r="DU20" s="898"/>
      <c r="DV20" s="898"/>
      <c r="DW20" s="898"/>
      <c r="DX20" s="898"/>
      <c r="DY20" s="898"/>
      <c r="DZ20" s="898"/>
      <c r="EA20" s="898"/>
      <c r="EB20" s="898"/>
      <c r="EC20" s="898"/>
      <c r="ED20" s="898"/>
      <c r="EE20" s="898"/>
      <c r="EF20" s="898"/>
      <c r="EG20" s="898"/>
      <c r="EH20" s="898"/>
      <c r="EI20" s="898"/>
      <c r="EJ20" s="898"/>
      <c r="EK20" s="898"/>
      <c r="EL20" s="898"/>
      <c r="EM20" s="898"/>
      <c r="EN20" s="898"/>
      <c r="EO20" s="898"/>
      <c r="EP20" s="898"/>
      <c r="EQ20" s="898"/>
      <c r="ER20" s="898"/>
      <c r="ES20" s="898"/>
      <c r="ET20" s="898"/>
      <c r="EU20" s="898"/>
      <c r="EV20" s="898"/>
      <c r="EW20" s="898"/>
      <c r="EX20" s="898"/>
      <c r="EY20" s="898"/>
      <c r="EZ20" s="898"/>
      <c r="FA20" s="898"/>
      <c r="FB20" s="898"/>
      <c r="FC20" s="898"/>
      <c r="FD20" s="898"/>
      <c r="FE20" s="898"/>
      <c r="FF20" s="898"/>
      <c r="FG20" s="898"/>
      <c r="FH20" s="898"/>
      <c r="FI20" s="898"/>
      <c r="FJ20" s="898"/>
      <c r="FK20" s="898"/>
      <c r="FL20" s="898"/>
      <c r="FM20" s="898"/>
      <c r="FN20" s="898"/>
      <c r="FO20" s="898"/>
      <c r="FP20" s="898"/>
      <c r="FQ20" s="898"/>
      <c r="FR20" s="898"/>
      <c r="FS20" s="898"/>
      <c r="FT20" s="898"/>
      <c r="FU20" s="898"/>
      <c r="FV20" s="898"/>
      <c r="FW20" s="898"/>
      <c r="FX20" s="898"/>
      <c r="FY20" s="898"/>
      <c r="FZ20" s="898"/>
      <c r="GA20" s="898"/>
      <c r="GB20" s="898"/>
      <c r="GC20" s="898"/>
      <c r="GD20" s="898"/>
      <c r="GE20" s="898"/>
      <c r="GF20" s="898"/>
      <c r="GG20" s="898"/>
      <c r="GH20" s="898"/>
      <c r="GI20" s="898"/>
      <c r="GJ20" s="898"/>
      <c r="GK20" s="898"/>
      <c r="GL20" s="898"/>
      <c r="GM20" s="898"/>
      <c r="GN20" s="898"/>
      <c r="GO20" s="898"/>
      <c r="GP20" s="898"/>
      <c r="GQ20" s="898"/>
      <c r="GR20" s="898"/>
      <c r="GS20" s="898"/>
      <c r="GT20" s="898"/>
      <c r="GU20" s="898"/>
      <c r="GV20" s="898"/>
      <c r="GW20" s="898"/>
      <c r="GX20" s="898"/>
      <c r="GY20" s="898"/>
      <c r="GZ20" s="898"/>
      <c r="HA20" s="898"/>
      <c r="HB20" s="898"/>
      <c r="HC20" s="898"/>
      <c r="HD20" s="898"/>
      <c r="HE20" s="898"/>
      <c r="HF20" s="898"/>
      <c r="HG20" s="898"/>
      <c r="HH20" s="898"/>
      <c r="HI20" s="898"/>
      <c r="HJ20" s="898"/>
      <c r="HK20" s="898"/>
      <c r="HL20" s="898"/>
      <c r="HM20" s="898"/>
      <c r="HN20" s="898"/>
      <c r="HO20" s="898"/>
      <c r="HP20" s="898"/>
      <c r="HQ20" s="898"/>
      <c r="HR20" s="898"/>
      <c r="HS20" s="898"/>
      <c r="HT20" s="898"/>
      <c r="HU20" s="898"/>
      <c r="HV20" s="898"/>
      <c r="HW20" s="898"/>
      <c r="HX20" s="898"/>
      <c r="HY20" s="898"/>
      <c r="HZ20" s="898"/>
      <c r="IA20" s="898"/>
      <c r="IB20" s="898"/>
      <c r="IC20" s="898"/>
      <c r="ID20" s="898"/>
      <c r="IE20" s="898"/>
      <c r="IF20" s="898"/>
      <c r="IG20" s="898"/>
      <c r="IH20" s="898"/>
      <c r="II20" s="898"/>
      <c r="IJ20" s="898"/>
      <c r="IK20" s="898"/>
      <c r="IL20" s="898"/>
      <c r="IM20" s="898"/>
      <c r="IN20" s="898"/>
      <c r="IO20" s="898"/>
      <c r="IP20" s="898"/>
      <c r="IQ20" s="898"/>
      <c r="IR20" s="898"/>
      <c r="IS20" s="898"/>
      <c r="IT20" s="898"/>
      <c r="IU20" s="898"/>
      <c r="IV20" s="898"/>
    </row>
    <row r="21" spans="1:256" ht="15.75" customHeight="1">
      <c r="A21" s="1429" t="s">
        <v>395</v>
      </c>
      <c r="B21" s="894"/>
      <c r="C21" s="894"/>
      <c r="D21" s="1431">
        <v>9.1059999999999999</v>
      </c>
      <c r="E21" s="865"/>
      <c r="F21" s="1432">
        <v>0.106</v>
      </c>
      <c r="G21" s="865"/>
      <c r="H21" s="1433">
        <v>1.4E-2</v>
      </c>
      <c r="I21" s="865"/>
      <c r="J21" s="1434">
        <v>0</v>
      </c>
      <c r="K21" s="865"/>
      <c r="L21" s="1987">
        <f>ROUND(D21+F21-H21+J21,3)</f>
        <v>9.1980000000000004</v>
      </c>
      <c r="M21" s="896"/>
      <c r="N21" s="898"/>
      <c r="O21" s="898"/>
      <c r="P21" s="898"/>
      <c r="Q21" s="898"/>
      <c r="R21" s="898"/>
      <c r="S21" s="898"/>
      <c r="T21" s="898"/>
      <c r="U21" s="898"/>
      <c r="V21" s="898"/>
      <c r="W21" s="898"/>
      <c r="X21" s="898"/>
      <c r="Y21" s="898"/>
      <c r="Z21" s="898"/>
      <c r="AA21" s="898"/>
      <c r="AB21" s="898"/>
      <c r="AC21" s="898"/>
      <c r="AD21" s="898"/>
      <c r="AE21" s="898"/>
      <c r="AF21" s="898"/>
      <c r="AG21" s="898"/>
      <c r="AH21" s="898"/>
      <c r="AI21" s="898"/>
      <c r="AJ21" s="898"/>
      <c r="AK21" s="898"/>
      <c r="AL21" s="898"/>
      <c r="AM21" s="898"/>
      <c r="AN21" s="898"/>
      <c r="AO21" s="898"/>
      <c r="AP21" s="898"/>
      <c r="AQ21" s="898"/>
      <c r="AR21" s="898"/>
      <c r="AS21" s="898"/>
      <c r="AT21" s="898"/>
      <c r="AU21" s="898"/>
      <c r="AV21" s="898"/>
      <c r="AW21" s="898"/>
      <c r="AX21" s="898"/>
      <c r="AY21" s="898"/>
      <c r="AZ21" s="898"/>
      <c r="BA21" s="898"/>
      <c r="BB21" s="898"/>
      <c r="BC21" s="898"/>
      <c r="BD21" s="898"/>
      <c r="BE21" s="898"/>
      <c r="BF21" s="898"/>
      <c r="BG21" s="898"/>
      <c r="BH21" s="898"/>
      <c r="BI21" s="898"/>
      <c r="BJ21" s="898"/>
      <c r="BK21" s="898"/>
      <c r="BL21" s="898"/>
      <c r="BM21" s="898"/>
      <c r="BN21" s="898"/>
      <c r="BO21" s="898"/>
      <c r="BP21" s="898"/>
      <c r="BQ21" s="898"/>
      <c r="BR21" s="898"/>
      <c r="BS21" s="898"/>
      <c r="BT21" s="898"/>
      <c r="BU21" s="898"/>
      <c r="BV21" s="898"/>
      <c r="BW21" s="898"/>
      <c r="BX21" s="898"/>
      <c r="BY21" s="898"/>
      <c r="BZ21" s="898"/>
      <c r="CA21" s="898"/>
      <c r="CB21" s="898"/>
      <c r="CC21" s="898"/>
      <c r="CD21" s="898"/>
      <c r="CE21" s="898"/>
      <c r="CF21" s="898"/>
      <c r="CG21" s="898"/>
      <c r="CH21" s="898"/>
      <c r="CI21" s="898"/>
      <c r="CJ21" s="898"/>
      <c r="CK21" s="898"/>
      <c r="CL21" s="898"/>
      <c r="CM21" s="898"/>
      <c r="CN21" s="898"/>
      <c r="CO21" s="898"/>
      <c r="CP21" s="898"/>
      <c r="CQ21" s="898"/>
      <c r="CR21" s="898"/>
      <c r="CS21" s="898"/>
      <c r="CT21" s="898"/>
      <c r="CU21" s="898"/>
      <c r="CV21" s="898"/>
      <c r="CW21" s="898"/>
      <c r="CX21" s="898"/>
      <c r="CY21" s="898"/>
      <c r="CZ21" s="898"/>
      <c r="DA21" s="898"/>
      <c r="DB21" s="898"/>
      <c r="DC21" s="898"/>
      <c r="DD21" s="898"/>
      <c r="DE21" s="898"/>
      <c r="DF21" s="898"/>
      <c r="DG21" s="898"/>
      <c r="DH21" s="898"/>
      <c r="DI21" s="898"/>
      <c r="DJ21" s="898"/>
      <c r="DK21" s="898"/>
      <c r="DL21" s="898"/>
      <c r="DM21" s="898"/>
      <c r="DN21" s="898"/>
      <c r="DO21" s="898"/>
      <c r="DP21" s="898"/>
      <c r="DQ21" s="898"/>
      <c r="DR21" s="898"/>
      <c r="DS21" s="898"/>
      <c r="DT21" s="898"/>
      <c r="DU21" s="898"/>
      <c r="DV21" s="898"/>
      <c r="DW21" s="898"/>
      <c r="DX21" s="898"/>
      <c r="DY21" s="898"/>
      <c r="DZ21" s="898"/>
      <c r="EA21" s="898"/>
      <c r="EB21" s="898"/>
      <c r="EC21" s="898"/>
      <c r="ED21" s="898"/>
      <c r="EE21" s="898"/>
      <c r="EF21" s="898"/>
      <c r="EG21" s="898"/>
      <c r="EH21" s="898"/>
      <c r="EI21" s="898"/>
      <c r="EJ21" s="898"/>
      <c r="EK21" s="898"/>
      <c r="EL21" s="898"/>
      <c r="EM21" s="898"/>
      <c r="EN21" s="898"/>
      <c r="EO21" s="898"/>
      <c r="EP21" s="898"/>
      <c r="EQ21" s="898"/>
      <c r="ER21" s="898"/>
      <c r="ES21" s="898"/>
      <c r="ET21" s="898"/>
      <c r="EU21" s="898"/>
      <c r="EV21" s="898"/>
      <c r="EW21" s="898"/>
      <c r="EX21" s="898"/>
      <c r="EY21" s="898"/>
      <c r="EZ21" s="898"/>
      <c r="FA21" s="898"/>
      <c r="FB21" s="898"/>
      <c r="FC21" s="898"/>
      <c r="FD21" s="898"/>
      <c r="FE21" s="898"/>
      <c r="FF21" s="898"/>
      <c r="FG21" s="898"/>
      <c r="FH21" s="898"/>
      <c r="FI21" s="898"/>
      <c r="FJ21" s="898"/>
      <c r="FK21" s="898"/>
      <c r="FL21" s="898"/>
      <c r="FM21" s="898"/>
      <c r="FN21" s="898"/>
      <c r="FO21" s="898"/>
      <c r="FP21" s="898"/>
      <c r="FQ21" s="898"/>
      <c r="FR21" s="898"/>
      <c r="FS21" s="898"/>
      <c r="FT21" s="898"/>
      <c r="FU21" s="898"/>
      <c r="FV21" s="898"/>
      <c r="FW21" s="898"/>
      <c r="FX21" s="898"/>
      <c r="FY21" s="898"/>
      <c r="FZ21" s="898"/>
      <c r="GA21" s="898"/>
      <c r="GB21" s="898"/>
      <c r="GC21" s="898"/>
      <c r="GD21" s="898"/>
      <c r="GE21" s="898"/>
      <c r="GF21" s="898"/>
      <c r="GG21" s="898"/>
      <c r="GH21" s="898"/>
      <c r="GI21" s="898"/>
      <c r="GJ21" s="898"/>
      <c r="GK21" s="898"/>
      <c r="GL21" s="898"/>
      <c r="GM21" s="898"/>
      <c r="GN21" s="898"/>
      <c r="GO21" s="898"/>
      <c r="GP21" s="898"/>
      <c r="GQ21" s="898"/>
      <c r="GR21" s="898"/>
      <c r="GS21" s="898"/>
      <c r="GT21" s="898"/>
      <c r="GU21" s="898"/>
      <c r="GV21" s="898"/>
      <c r="GW21" s="898"/>
      <c r="GX21" s="898"/>
      <c r="GY21" s="898"/>
      <c r="GZ21" s="898"/>
      <c r="HA21" s="898"/>
      <c r="HB21" s="898"/>
      <c r="HC21" s="898"/>
      <c r="HD21" s="898"/>
      <c r="HE21" s="898"/>
      <c r="HF21" s="898"/>
      <c r="HG21" s="898"/>
      <c r="HH21" s="898"/>
      <c r="HI21" s="898"/>
      <c r="HJ21" s="898"/>
      <c r="HK21" s="898"/>
      <c r="HL21" s="898"/>
      <c r="HM21" s="898"/>
      <c r="HN21" s="898"/>
      <c r="HO21" s="898"/>
      <c r="HP21" s="898"/>
      <c r="HQ21" s="898"/>
      <c r="HR21" s="898"/>
      <c r="HS21" s="898"/>
      <c r="HT21" s="898"/>
      <c r="HU21" s="898"/>
      <c r="HV21" s="898"/>
      <c r="HW21" s="898"/>
      <c r="HX21" s="898"/>
      <c r="HY21" s="898"/>
      <c r="HZ21" s="898"/>
      <c r="IA21" s="898"/>
      <c r="IB21" s="898"/>
      <c r="IC21" s="898"/>
      <c r="ID21" s="898"/>
      <c r="IE21" s="898"/>
      <c r="IF21" s="898"/>
      <c r="IG21" s="898"/>
      <c r="IH21" s="898"/>
      <c r="II21" s="898"/>
      <c r="IJ21" s="898"/>
      <c r="IK21" s="898"/>
      <c r="IL21" s="898"/>
      <c r="IM21" s="898"/>
      <c r="IN21" s="898"/>
      <c r="IO21" s="898"/>
      <c r="IP21" s="898"/>
      <c r="IQ21" s="898"/>
      <c r="IR21" s="898"/>
      <c r="IS21" s="898"/>
      <c r="IT21" s="898"/>
      <c r="IU21" s="898"/>
      <c r="IV21" s="898"/>
    </row>
    <row r="22" spans="1:256" ht="6.75" customHeight="1">
      <c r="A22" s="1429"/>
      <c r="B22" s="894"/>
      <c r="C22" s="894"/>
      <c r="D22" s="869"/>
      <c r="E22" s="865"/>
      <c r="F22" s="869" t="s">
        <v>16</v>
      </c>
      <c r="G22" s="865"/>
      <c r="H22" s="1435"/>
      <c r="I22" s="865"/>
      <c r="J22" s="1436"/>
      <c r="K22" s="865"/>
      <c r="L22" s="869"/>
      <c r="M22" s="896"/>
      <c r="N22" s="898"/>
      <c r="O22" s="898"/>
      <c r="P22" s="898"/>
      <c r="Q22" s="898"/>
      <c r="R22" s="898"/>
      <c r="S22" s="898"/>
      <c r="T22" s="898"/>
      <c r="U22" s="898"/>
      <c r="V22" s="898"/>
      <c r="W22" s="898"/>
      <c r="X22" s="898"/>
      <c r="Y22" s="898"/>
      <c r="Z22" s="898"/>
      <c r="AA22" s="898"/>
      <c r="AB22" s="898"/>
      <c r="AC22" s="898"/>
      <c r="AD22" s="898"/>
      <c r="AE22" s="898"/>
      <c r="AF22" s="898"/>
      <c r="AG22" s="898"/>
      <c r="AH22" s="898"/>
      <c r="AI22" s="898"/>
      <c r="AJ22" s="898"/>
      <c r="AK22" s="898"/>
      <c r="AL22" s="898"/>
      <c r="AM22" s="898"/>
      <c r="AN22" s="898"/>
      <c r="AO22" s="898"/>
      <c r="AP22" s="898"/>
      <c r="AQ22" s="898"/>
      <c r="AR22" s="898"/>
      <c r="AS22" s="898"/>
      <c r="AT22" s="898"/>
      <c r="AU22" s="898"/>
      <c r="AV22" s="898"/>
      <c r="AW22" s="898"/>
      <c r="AX22" s="898"/>
      <c r="AY22" s="898"/>
      <c r="AZ22" s="898"/>
      <c r="BA22" s="898"/>
      <c r="BB22" s="898"/>
      <c r="BC22" s="898"/>
      <c r="BD22" s="898"/>
      <c r="BE22" s="898"/>
      <c r="BF22" s="898"/>
      <c r="BG22" s="898"/>
      <c r="BH22" s="898"/>
      <c r="BI22" s="898"/>
      <c r="BJ22" s="898"/>
      <c r="BK22" s="898"/>
      <c r="BL22" s="898"/>
      <c r="BM22" s="898"/>
      <c r="BN22" s="898"/>
      <c r="BO22" s="898"/>
      <c r="BP22" s="898"/>
      <c r="BQ22" s="898"/>
      <c r="BR22" s="898"/>
      <c r="BS22" s="898"/>
      <c r="BT22" s="898"/>
      <c r="BU22" s="898"/>
      <c r="BV22" s="898"/>
      <c r="BW22" s="898"/>
      <c r="BX22" s="898"/>
      <c r="BY22" s="898"/>
      <c r="BZ22" s="898"/>
      <c r="CA22" s="898"/>
      <c r="CB22" s="898"/>
      <c r="CC22" s="898"/>
      <c r="CD22" s="898"/>
      <c r="CE22" s="898"/>
      <c r="CF22" s="898"/>
      <c r="CG22" s="898"/>
      <c r="CH22" s="898"/>
      <c r="CI22" s="898"/>
      <c r="CJ22" s="898"/>
      <c r="CK22" s="898"/>
      <c r="CL22" s="898"/>
      <c r="CM22" s="898"/>
      <c r="CN22" s="898"/>
      <c r="CO22" s="898"/>
      <c r="CP22" s="898"/>
      <c r="CQ22" s="898"/>
      <c r="CR22" s="898"/>
      <c r="CS22" s="898"/>
      <c r="CT22" s="898"/>
      <c r="CU22" s="898"/>
      <c r="CV22" s="898"/>
      <c r="CW22" s="898"/>
      <c r="CX22" s="898"/>
      <c r="CY22" s="898"/>
      <c r="CZ22" s="898"/>
      <c r="DA22" s="898"/>
      <c r="DB22" s="898"/>
      <c r="DC22" s="898"/>
      <c r="DD22" s="898"/>
      <c r="DE22" s="898"/>
      <c r="DF22" s="898"/>
      <c r="DG22" s="898"/>
      <c r="DH22" s="898"/>
      <c r="DI22" s="898"/>
      <c r="DJ22" s="898"/>
      <c r="DK22" s="898"/>
      <c r="DL22" s="898"/>
      <c r="DM22" s="898"/>
      <c r="DN22" s="898"/>
      <c r="DO22" s="898"/>
      <c r="DP22" s="898"/>
      <c r="DQ22" s="898"/>
      <c r="DR22" s="898"/>
      <c r="DS22" s="898"/>
      <c r="DT22" s="898"/>
      <c r="DU22" s="898"/>
      <c r="DV22" s="898"/>
      <c r="DW22" s="898"/>
      <c r="DX22" s="898"/>
      <c r="DY22" s="898"/>
      <c r="DZ22" s="898"/>
      <c r="EA22" s="898"/>
      <c r="EB22" s="898"/>
      <c r="EC22" s="898"/>
      <c r="ED22" s="898"/>
      <c r="EE22" s="898"/>
      <c r="EF22" s="898"/>
      <c r="EG22" s="898"/>
      <c r="EH22" s="898"/>
      <c r="EI22" s="898"/>
      <c r="EJ22" s="898"/>
      <c r="EK22" s="898"/>
      <c r="EL22" s="898"/>
      <c r="EM22" s="898"/>
      <c r="EN22" s="898"/>
      <c r="EO22" s="898"/>
      <c r="EP22" s="898"/>
      <c r="EQ22" s="898"/>
      <c r="ER22" s="898"/>
      <c r="ES22" s="898"/>
      <c r="ET22" s="898"/>
      <c r="EU22" s="898"/>
      <c r="EV22" s="898"/>
      <c r="EW22" s="898"/>
      <c r="EX22" s="898"/>
      <c r="EY22" s="898"/>
      <c r="EZ22" s="898"/>
      <c r="FA22" s="898"/>
      <c r="FB22" s="898"/>
      <c r="FC22" s="898"/>
      <c r="FD22" s="898"/>
      <c r="FE22" s="898"/>
      <c r="FF22" s="898"/>
      <c r="FG22" s="898"/>
      <c r="FH22" s="898"/>
      <c r="FI22" s="898"/>
      <c r="FJ22" s="898"/>
      <c r="FK22" s="898"/>
      <c r="FL22" s="898"/>
      <c r="FM22" s="898"/>
      <c r="FN22" s="898"/>
      <c r="FO22" s="898"/>
      <c r="FP22" s="898"/>
      <c r="FQ22" s="898"/>
      <c r="FR22" s="898"/>
      <c r="FS22" s="898"/>
      <c r="FT22" s="898"/>
      <c r="FU22" s="898"/>
      <c r="FV22" s="898"/>
      <c r="FW22" s="898"/>
      <c r="FX22" s="898"/>
      <c r="FY22" s="898"/>
      <c r="FZ22" s="898"/>
      <c r="GA22" s="898"/>
      <c r="GB22" s="898"/>
      <c r="GC22" s="898"/>
      <c r="GD22" s="898"/>
      <c r="GE22" s="898"/>
      <c r="GF22" s="898"/>
      <c r="GG22" s="898"/>
      <c r="GH22" s="898"/>
      <c r="GI22" s="898"/>
      <c r="GJ22" s="898"/>
      <c r="GK22" s="898"/>
      <c r="GL22" s="898"/>
      <c r="GM22" s="898"/>
      <c r="GN22" s="898"/>
      <c r="GO22" s="898"/>
      <c r="GP22" s="898"/>
      <c r="GQ22" s="898"/>
      <c r="GR22" s="898"/>
      <c r="GS22" s="898"/>
      <c r="GT22" s="898"/>
      <c r="GU22" s="898"/>
      <c r="GV22" s="898"/>
      <c r="GW22" s="898"/>
      <c r="GX22" s="898"/>
      <c r="GY22" s="898"/>
      <c r="GZ22" s="898"/>
      <c r="HA22" s="898"/>
      <c r="HB22" s="898"/>
      <c r="HC22" s="898"/>
      <c r="HD22" s="898"/>
      <c r="HE22" s="898"/>
      <c r="HF22" s="898"/>
      <c r="HG22" s="898"/>
      <c r="HH22" s="898"/>
      <c r="HI22" s="898"/>
      <c r="HJ22" s="898"/>
      <c r="HK22" s="898"/>
      <c r="HL22" s="898"/>
      <c r="HM22" s="898"/>
      <c r="HN22" s="898"/>
      <c r="HO22" s="898"/>
      <c r="HP22" s="898"/>
      <c r="HQ22" s="898"/>
      <c r="HR22" s="898"/>
      <c r="HS22" s="898"/>
      <c r="HT22" s="898"/>
      <c r="HU22" s="898"/>
      <c r="HV22" s="898"/>
      <c r="HW22" s="898"/>
      <c r="HX22" s="898"/>
      <c r="HY22" s="898"/>
      <c r="HZ22" s="898"/>
      <c r="IA22" s="898"/>
      <c r="IB22" s="898"/>
      <c r="IC22" s="898"/>
      <c r="ID22" s="898"/>
      <c r="IE22" s="898"/>
      <c r="IF22" s="898"/>
      <c r="IG22" s="898"/>
      <c r="IH22" s="898"/>
      <c r="II22" s="898"/>
      <c r="IJ22" s="898"/>
      <c r="IK22" s="898"/>
      <c r="IL22" s="898"/>
      <c r="IM22" s="898"/>
      <c r="IN22" s="898"/>
      <c r="IO22" s="898"/>
      <c r="IP22" s="898"/>
      <c r="IQ22" s="898"/>
      <c r="IR22" s="898"/>
      <c r="IS22" s="898"/>
      <c r="IT22" s="898"/>
      <c r="IU22" s="898"/>
      <c r="IV22" s="898"/>
    </row>
    <row r="23" spans="1:256" ht="17.25" customHeight="1">
      <c r="A23" s="900" t="s">
        <v>396</v>
      </c>
      <c r="B23" s="894"/>
      <c r="C23" s="916"/>
      <c r="D23" s="1437">
        <f>ROUND(SUM(D20:D21),3)</f>
        <v>11.345000000000001</v>
      </c>
      <c r="E23" s="1428"/>
      <c r="F23" s="1437">
        <f>ROUND(SUM(F20:F21),3)</f>
        <v>0.107</v>
      </c>
      <c r="G23" s="1428"/>
      <c r="H23" s="1437">
        <f>ROUND(SUM(H20:H21),3)</f>
        <v>2.1000000000000001E-2</v>
      </c>
      <c r="I23" s="1428"/>
      <c r="J23" s="1437">
        <f>ROUND(SUM(J20:J21),3)</f>
        <v>0</v>
      </c>
      <c r="K23" s="1428"/>
      <c r="L23" s="1437">
        <f>ROUND(SUM(L20:L21),3)</f>
        <v>11.430999999999999</v>
      </c>
      <c r="M23" s="908"/>
      <c r="N23" s="909"/>
      <c r="O23" s="898"/>
      <c r="P23" s="898"/>
      <c r="Q23" s="898"/>
      <c r="R23" s="898"/>
      <c r="S23" s="898"/>
      <c r="T23" s="898"/>
      <c r="U23" s="898"/>
      <c r="V23" s="898"/>
      <c r="W23" s="898"/>
      <c r="X23" s="898"/>
      <c r="Y23" s="898"/>
      <c r="Z23" s="898"/>
      <c r="AA23" s="898"/>
      <c r="AB23" s="898"/>
      <c r="AC23" s="898"/>
      <c r="AD23" s="898"/>
      <c r="AE23" s="898"/>
      <c r="AF23" s="898"/>
      <c r="AG23" s="898"/>
      <c r="AH23" s="898"/>
      <c r="AI23" s="898"/>
      <c r="AJ23" s="898"/>
      <c r="AK23" s="898"/>
      <c r="AL23" s="898"/>
      <c r="AM23" s="898"/>
      <c r="AN23" s="898"/>
      <c r="AO23" s="898"/>
      <c r="AP23" s="898"/>
      <c r="AQ23" s="898"/>
      <c r="AR23" s="898"/>
      <c r="AS23" s="898"/>
      <c r="AT23" s="898"/>
      <c r="AU23" s="898"/>
      <c r="AV23" s="898"/>
      <c r="AW23" s="898"/>
      <c r="AX23" s="898"/>
      <c r="AY23" s="898"/>
      <c r="AZ23" s="898"/>
      <c r="BA23" s="898"/>
      <c r="BB23" s="898"/>
      <c r="BC23" s="898"/>
      <c r="BD23" s="898"/>
      <c r="BE23" s="898"/>
      <c r="BF23" s="898"/>
      <c r="BG23" s="898"/>
      <c r="BH23" s="898"/>
      <c r="BI23" s="898"/>
      <c r="BJ23" s="898"/>
      <c r="BK23" s="898"/>
      <c r="BL23" s="898"/>
      <c r="BM23" s="898"/>
      <c r="BN23" s="898"/>
      <c r="BO23" s="898"/>
      <c r="BP23" s="898"/>
      <c r="BQ23" s="898"/>
      <c r="BR23" s="898"/>
      <c r="BS23" s="898"/>
      <c r="BT23" s="898"/>
      <c r="BU23" s="898"/>
      <c r="BV23" s="898"/>
      <c r="BW23" s="898"/>
      <c r="BX23" s="898"/>
      <c r="BY23" s="898"/>
      <c r="BZ23" s="898"/>
      <c r="CA23" s="898"/>
      <c r="CB23" s="898"/>
      <c r="CC23" s="898"/>
      <c r="CD23" s="898"/>
      <c r="CE23" s="898"/>
      <c r="CF23" s="898"/>
      <c r="CG23" s="898"/>
      <c r="CH23" s="898"/>
      <c r="CI23" s="898"/>
      <c r="CJ23" s="898"/>
      <c r="CK23" s="898"/>
      <c r="CL23" s="898"/>
      <c r="CM23" s="898"/>
      <c r="CN23" s="898"/>
      <c r="CO23" s="898"/>
      <c r="CP23" s="898"/>
      <c r="CQ23" s="898"/>
      <c r="CR23" s="898"/>
      <c r="CS23" s="898"/>
      <c r="CT23" s="898"/>
      <c r="CU23" s="898"/>
      <c r="CV23" s="898"/>
      <c r="CW23" s="898"/>
      <c r="CX23" s="898"/>
      <c r="CY23" s="898"/>
      <c r="CZ23" s="898"/>
      <c r="DA23" s="898"/>
      <c r="DB23" s="898"/>
      <c r="DC23" s="898"/>
      <c r="DD23" s="898"/>
      <c r="DE23" s="898"/>
      <c r="DF23" s="898"/>
      <c r="DG23" s="898"/>
      <c r="DH23" s="898"/>
      <c r="DI23" s="898"/>
      <c r="DJ23" s="898"/>
      <c r="DK23" s="898"/>
      <c r="DL23" s="898"/>
      <c r="DM23" s="898"/>
      <c r="DN23" s="898"/>
      <c r="DO23" s="898"/>
      <c r="DP23" s="898"/>
      <c r="DQ23" s="898"/>
      <c r="DR23" s="898"/>
      <c r="DS23" s="898"/>
      <c r="DT23" s="898"/>
      <c r="DU23" s="898"/>
      <c r="DV23" s="898"/>
      <c r="DW23" s="898"/>
      <c r="DX23" s="898"/>
      <c r="DY23" s="898"/>
      <c r="DZ23" s="898"/>
      <c r="EA23" s="898"/>
      <c r="EB23" s="898"/>
      <c r="EC23" s="898"/>
      <c r="ED23" s="898"/>
      <c r="EE23" s="898"/>
      <c r="EF23" s="898"/>
      <c r="EG23" s="898"/>
      <c r="EH23" s="898"/>
      <c r="EI23" s="898"/>
      <c r="EJ23" s="898"/>
      <c r="EK23" s="898"/>
      <c r="EL23" s="898"/>
      <c r="EM23" s="898"/>
      <c r="EN23" s="898"/>
      <c r="EO23" s="898"/>
      <c r="EP23" s="898"/>
      <c r="EQ23" s="898"/>
      <c r="ER23" s="898"/>
      <c r="ES23" s="898"/>
      <c r="ET23" s="898"/>
      <c r="EU23" s="898"/>
      <c r="EV23" s="898"/>
      <c r="EW23" s="898"/>
      <c r="EX23" s="898"/>
      <c r="EY23" s="898"/>
      <c r="EZ23" s="898"/>
      <c r="FA23" s="898"/>
      <c r="FB23" s="898"/>
      <c r="FC23" s="898"/>
      <c r="FD23" s="898"/>
      <c r="FE23" s="898"/>
      <c r="FF23" s="898"/>
      <c r="FG23" s="898"/>
      <c r="FH23" s="898"/>
      <c r="FI23" s="898"/>
      <c r="FJ23" s="898"/>
      <c r="FK23" s="898"/>
      <c r="FL23" s="898"/>
      <c r="FM23" s="898"/>
      <c r="FN23" s="898"/>
      <c r="FO23" s="898"/>
      <c r="FP23" s="898"/>
      <c r="FQ23" s="898"/>
      <c r="FR23" s="898"/>
      <c r="FS23" s="898"/>
      <c r="FT23" s="898"/>
      <c r="FU23" s="898"/>
      <c r="FV23" s="898"/>
      <c r="FW23" s="898"/>
      <c r="FX23" s="898"/>
      <c r="FY23" s="898"/>
      <c r="FZ23" s="898"/>
      <c r="GA23" s="898"/>
      <c r="GB23" s="898"/>
      <c r="GC23" s="898"/>
      <c r="GD23" s="898"/>
      <c r="GE23" s="898"/>
      <c r="GF23" s="898"/>
      <c r="GG23" s="898"/>
      <c r="GH23" s="898"/>
      <c r="GI23" s="898"/>
      <c r="GJ23" s="898"/>
      <c r="GK23" s="898"/>
      <c r="GL23" s="898"/>
      <c r="GM23" s="898"/>
      <c r="GN23" s="898"/>
      <c r="GO23" s="898"/>
      <c r="GP23" s="898"/>
      <c r="GQ23" s="898"/>
      <c r="GR23" s="898"/>
      <c r="GS23" s="898"/>
      <c r="GT23" s="898"/>
      <c r="GU23" s="898"/>
      <c r="GV23" s="898"/>
      <c r="GW23" s="898"/>
      <c r="GX23" s="898"/>
      <c r="GY23" s="898"/>
      <c r="GZ23" s="898"/>
      <c r="HA23" s="898"/>
      <c r="HB23" s="898"/>
      <c r="HC23" s="898"/>
      <c r="HD23" s="898"/>
      <c r="HE23" s="898"/>
      <c r="HF23" s="898"/>
      <c r="HG23" s="898"/>
      <c r="HH23" s="898"/>
      <c r="HI23" s="898"/>
      <c r="HJ23" s="898"/>
      <c r="HK23" s="898"/>
      <c r="HL23" s="898"/>
      <c r="HM23" s="898"/>
      <c r="HN23" s="898"/>
      <c r="HO23" s="898"/>
      <c r="HP23" s="898"/>
      <c r="HQ23" s="898"/>
      <c r="HR23" s="898"/>
      <c r="HS23" s="898"/>
      <c r="HT23" s="898"/>
      <c r="HU23" s="898"/>
      <c r="HV23" s="898"/>
      <c r="HW23" s="898"/>
      <c r="HX23" s="898"/>
      <c r="HY23" s="898"/>
      <c r="HZ23" s="898"/>
      <c r="IA23" s="898"/>
      <c r="IB23" s="898"/>
      <c r="IC23" s="898"/>
      <c r="ID23" s="898"/>
      <c r="IE23" s="898"/>
      <c r="IF23" s="898"/>
      <c r="IG23" s="898"/>
      <c r="IH23" s="898"/>
      <c r="II23" s="898"/>
      <c r="IJ23" s="898"/>
      <c r="IK23" s="898"/>
      <c r="IL23" s="898"/>
      <c r="IM23" s="898"/>
      <c r="IN23" s="898"/>
      <c r="IO23" s="898"/>
      <c r="IP23" s="898"/>
      <c r="IQ23" s="898"/>
      <c r="IR23" s="898"/>
      <c r="IS23" s="898"/>
      <c r="IT23" s="898"/>
      <c r="IU23" s="898"/>
      <c r="IV23" s="898"/>
    </row>
    <row r="24" spans="1:256" ht="12" customHeight="1">
      <c r="A24" s="894"/>
      <c r="B24" s="894"/>
      <c r="C24" s="894"/>
      <c r="D24" s="1428"/>
      <c r="E24" s="1426"/>
      <c r="F24" s="1428"/>
      <c r="G24" s="1426"/>
      <c r="H24" s="1428"/>
      <c r="I24" s="1426"/>
      <c r="J24" s="1428"/>
      <c r="K24" s="1426"/>
      <c r="L24" s="1428"/>
      <c r="M24" s="896"/>
      <c r="N24" s="898"/>
      <c r="O24" s="898"/>
      <c r="P24" s="898"/>
      <c r="Q24" s="898"/>
      <c r="R24" s="898"/>
      <c r="S24" s="898"/>
      <c r="T24" s="898"/>
      <c r="U24" s="898"/>
      <c r="V24" s="898"/>
      <c r="W24" s="898"/>
      <c r="X24" s="898"/>
      <c r="Y24" s="898"/>
      <c r="Z24" s="898"/>
      <c r="AA24" s="898"/>
      <c r="AB24" s="898"/>
      <c r="AC24" s="898"/>
      <c r="AD24" s="898"/>
      <c r="AE24" s="898"/>
      <c r="AF24" s="898"/>
      <c r="AG24" s="898"/>
      <c r="AH24" s="898"/>
      <c r="AI24" s="898"/>
      <c r="AJ24" s="898"/>
      <c r="AK24" s="898"/>
      <c r="AL24" s="898"/>
      <c r="AM24" s="898"/>
      <c r="AN24" s="898"/>
      <c r="AO24" s="898"/>
      <c r="AP24" s="898"/>
      <c r="AQ24" s="898"/>
      <c r="AR24" s="898"/>
      <c r="AS24" s="898"/>
      <c r="AT24" s="898"/>
      <c r="AU24" s="898"/>
      <c r="AV24" s="898"/>
      <c r="AW24" s="898"/>
      <c r="AX24" s="898"/>
      <c r="AY24" s="898"/>
      <c r="AZ24" s="898"/>
      <c r="BA24" s="898"/>
      <c r="BB24" s="898"/>
      <c r="BC24" s="898"/>
      <c r="BD24" s="898"/>
      <c r="BE24" s="898"/>
      <c r="BF24" s="898"/>
      <c r="BG24" s="898"/>
      <c r="BH24" s="898"/>
      <c r="BI24" s="898"/>
      <c r="BJ24" s="898"/>
      <c r="BK24" s="898"/>
      <c r="BL24" s="898"/>
      <c r="BM24" s="898"/>
      <c r="BN24" s="898"/>
      <c r="BO24" s="898"/>
      <c r="BP24" s="898"/>
      <c r="BQ24" s="898"/>
      <c r="BR24" s="898"/>
      <c r="BS24" s="898"/>
      <c r="BT24" s="898"/>
      <c r="BU24" s="898"/>
      <c r="BV24" s="898"/>
      <c r="BW24" s="898"/>
      <c r="BX24" s="898"/>
      <c r="BY24" s="898"/>
      <c r="BZ24" s="898"/>
      <c r="CA24" s="898"/>
      <c r="CB24" s="898"/>
      <c r="CC24" s="898"/>
      <c r="CD24" s="898"/>
      <c r="CE24" s="898"/>
      <c r="CF24" s="898"/>
      <c r="CG24" s="898"/>
      <c r="CH24" s="898"/>
      <c r="CI24" s="898"/>
      <c r="CJ24" s="898"/>
      <c r="CK24" s="898"/>
      <c r="CL24" s="898"/>
      <c r="CM24" s="898"/>
      <c r="CN24" s="898"/>
      <c r="CO24" s="898"/>
      <c r="CP24" s="898"/>
      <c r="CQ24" s="898"/>
      <c r="CR24" s="898"/>
      <c r="CS24" s="898"/>
      <c r="CT24" s="898"/>
      <c r="CU24" s="898"/>
      <c r="CV24" s="898"/>
      <c r="CW24" s="898"/>
      <c r="CX24" s="898"/>
      <c r="CY24" s="898"/>
      <c r="CZ24" s="898"/>
      <c r="DA24" s="898"/>
      <c r="DB24" s="898"/>
      <c r="DC24" s="898"/>
      <c r="DD24" s="898"/>
      <c r="DE24" s="898"/>
      <c r="DF24" s="898"/>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898"/>
      <c r="EU24" s="898"/>
      <c r="EV24" s="898"/>
      <c r="EW24" s="898"/>
      <c r="EX24" s="898"/>
      <c r="EY24" s="898"/>
      <c r="EZ24" s="898"/>
      <c r="FA24" s="898"/>
      <c r="FB24" s="898"/>
      <c r="FC24" s="898"/>
      <c r="FD24" s="898"/>
      <c r="FE24" s="898"/>
      <c r="FF24" s="898"/>
      <c r="FG24" s="898"/>
      <c r="FH24" s="898"/>
      <c r="FI24" s="898"/>
      <c r="FJ24" s="898"/>
      <c r="FK24" s="898"/>
      <c r="FL24" s="898"/>
      <c r="FM24" s="898"/>
      <c r="FN24" s="898"/>
      <c r="FO24" s="898"/>
      <c r="FP24" s="898"/>
      <c r="FQ24" s="898"/>
      <c r="FR24" s="898"/>
      <c r="FS24" s="898"/>
      <c r="FT24" s="898"/>
      <c r="FU24" s="898"/>
      <c r="FV24" s="898"/>
      <c r="FW24" s="898"/>
      <c r="FX24" s="898"/>
      <c r="FY24" s="898"/>
      <c r="FZ24" s="898"/>
      <c r="GA24" s="898"/>
      <c r="GB24" s="898"/>
      <c r="GC24" s="898"/>
      <c r="GD24" s="898"/>
      <c r="GE24" s="898"/>
      <c r="GF24" s="898"/>
      <c r="GG24" s="898"/>
      <c r="GH24" s="898"/>
      <c r="GI24" s="898"/>
      <c r="GJ24" s="898"/>
      <c r="GK24" s="898"/>
      <c r="GL24" s="898"/>
      <c r="GM24" s="898"/>
      <c r="GN24" s="898"/>
      <c r="GO24" s="898"/>
      <c r="GP24" s="898"/>
      <c r="GQ24" s="898"/>
      <c r="GR24" s="898"/>
      <c r="GS24" s="898"/>
      <c r="GT24" s="898"/>
      <c r="GU24" s="898"/>
      <c r="GV24" s="898"/>
      <c r="GW24" s="898"/>
      <c r="GX24" s="898"/>
      <c r="GY24" s="898"/>
      <c r="GZ24" s="898"/>
      <c r="HA24" s="898"/>
      <c r="HB24" s="898"/>
      <c r="HC24" s="898"/>
      <c r="HD24" s="898"/>
      <c r="HE24" s="898"/>
      <c r="HF24" s="898"/>
      <c r="HG24" s="898"/>
      <c r="HH24" s="898"/>
      <c r="HI24" s="898"/>
      <c r="HJ24" s="898"/>
      <c r="HK24" s="898"/>
      <c r="HL24" s="898"/>
      <c r="HM24" s="898"/>
      <c r="HN24" s="898"/>
      <c r="HO24" s="898"/>
      <c r="HP24" s="898"/>
      <c r="HQ24" s="898"/>
      <c r="HR24" s="898"/>
      <c r="HS24" s="898"/>
      <c r="HT24" s="898"/>
      <c r="HU24" s="898"/>
      <c r="HV24" s="898"/>
      <c r="HW24" s="898"/>
      <c r="HX24" s="898"/>
      <c r="HY24" s="898"/>
      <c r="HZ24" s="898"/>
      <c r="IA24" s="898"/>
      <c r="IB24" s="898"/>
      <c r="IC24" s="898"/>
      <c r="ID24" s="898"/>
      <c r="IE24" s="898"/>
      <c r="IF24" s="898"/>
      <c r="IG24" s="898"/>
      <c r="IH24" s="898"/>
      <c r="II24" s="898"/>
      <c r="IJ24" s="898"/>
      <c r="IK24" s="898"/>
      <c r="IL24" s="898"/>
      <c r="IM24" s="898"/>
      <c r="IN24" s="898"/>
      <c r="IO24" s="898"/>
      <c r="IP24" s="898"/>
      <c r="IQ24" s="898"/>
      <c r="IR24" s="898"/>
      <c r="IS24" s="898"/>
      <c r="IT24" s="898"/>
      <c r="IU24" s="898"/>
      <c r="IV24" s="898"/>
    </row>
    <row r="25" spans="1:256" ht="18">
      <c r="A25" s="901" t="s">
        <v>397</v>
      </c>
      <c r="B25" s="894"/>
      <c r="C25" s="894"/>
      <c r="D25" s="1426"/>
      <c r="E25" s="1426"/>
      <c r="F25" s="1426"/>
      <c r="G25" s="1426"/>
      <c r="H25" s="1426"/>
      <c r="I25" s="1426"/>
      <c r="J25" s="1426"/>
      <c r="K25" s="1426"/>
      <c r="L25" s="1426"/>
      <c r="M25" s="896"/>
      <c r="N25" s="898"/>
      <c r="O25" s="898"/>
      <c r="P25" s="898"/>
      <c r="Q25" s="898"/>
      <c r="R25" s="898"/>
      <c r="S25" s="898"/>
      <c r="T25" s="898"/>
      <c r="U25" s="898"/>
      <c r="V25" s="898"/>
      <c r="W25" s="898"/>
      <c r="X25" s="898"/>
      <c r="Y25" s="898"/>
      <c r="Z25" s="898"/>
      <c r="AA25" s="898"/>
      <c r="AB25" s="898"/>
      <c r="AC25" s="898"/>
      <c r="AD25" s="898"/>
      <c r="AE25" s="898"/>
      <c r="AF25" s="898"/>
      <c r="AG25" s="898"/>
      <c r="AH25" s="898"/>
      <c r="AI25" s="898"/>
      <c r="AJ25" s="898"/>
      <c r="AK25" s="898"/>
      <c r="AL25" s="898"/>
      <c r="AM25" s="898"/>
      <c r="AN25" s="898"/>
      <c r="AO25" s="898"/>
      <c r="AP25" s="898"/>
      <c r="AQ25" s="898"/>
      <c r="AR25" s="898"/>
      <c r="AS25" s="898"/>
      <c r="AT25" s="898"/>
      <c r="AU25" s="898"/>
      <c r="AV25" s="898"/>
      <c r="AW25" s="898"/>
      <c r="AX25" s="898"/>
      <c r="AY25" s="898"/>
      <c r="AZ25" s="898"/>
      <c r="BA25" s="898"/>
      <c r="BB25" s="898"/>
      <c r="BC25" s="898"/>
      <c r="BD25" s="898"/>
      <c r="BE25" s="898"/>
      <c r="BF25" s="898"/>
      <c r="BG25" s="898"/>
      <c r="BH25" s="898"/>
      <c r="BI25" s="898"/>
      <c r="BJ25" s="898"/>
      <c r="BK25" s="898"/>
      <c r="BL25" s="898"/>
      <c r="BM25" s="898"/>
      <c r="BN25" s="898"/>
      <c r="BO25" s="898"/>
      <c r="BP25" s="898"/>
      <c r="BQ25" s="898"/>
      <c r="BR25" s="898"/>
      <c r="BS25" s="898"/>
      <c r="BT25" s="898"/>
      <c r="BU25" s="898"/>
      <c r="BV25" s="898"/>
      <c r="BW25" s="898"/>
      <c r="BX25" s="898"/>
      <c r="BY25" s="898"/>
      <c r="BZ25" s="898"/>
      <c r="CA25" s="898"/>
      <c r="CB25" s="898"/>
      <c r="CC25" s="898"/>
      <c r="CD25" s="898"/>
      <c r="CE25" s="898"/>
      <c r="CF25" s="898"/>
      <c r="CG25" s="898"/>
      <c r="CH25" s="898"/>
      <c r="CI25" s="898"/>
      <c r="CJ25" s="898"/>
      <c r="CK25" s="898"/>
      <c r="CL25" s="898"/>
      <c r="CM25" s="898"/>
      <c r="CN25" s="898"/>
      <c r="CO25" s="898"/>
      <c r="CP25" s="898"/>
      <c r="CQ25" s="898"/>
      <c r="CR25" s="898"/>
      <c r="CS25" s="898"/>
      <c r="CT25" s="898"/>
      <c r="CU25" s="898"/>
      <c r="CV25" s="898"/>
      <c r="CW25" s="898"/>
      <c r="CX25" s="898"/>
      <c r="CY25" s="898"/>
      <c r="CZ25" s="898"/>
      <c r="DA25" s="898"/>
      <c r="DB25" s="898"/>
      <c r="DC25" s="898"/>
      <c r="DD25" s="898"/>
      <c r="DE25" s="898"/>
      <c r="DF25" s="898"/>
      <c r="DG25" s="898"/>
      <c r="DH25" s="898"/>
      <c r="DI25" s="898"/>
      <c r="DJ25" s="898"/>
      <c r="DK25" s="898"/>
      <c r="DL25" s="898"/>
      <c r="DM25" s="898"/>
      <c r="DN25" s="898"/>
      <c r="DO25" s="898"/>
      <c r="DP25" s="898"/>
      <c r="DQ25" s="898"/>
      <c r="DR25" s="898"/>
      <c r="DS25" s="898"/>
      <c r="DT25" s="898"/>
      <c r="DU25" s="898"/>
      <c r="DV25" s="898"/>
      <c r="DW25" s="898"/>
      <c r="DX25" s="898"/>
      <c r="DY25" s="898"/>
      <c r="DZ25" s="898"/>
      <c r="EA25" s="898"/>
      <c r="EB25" s="898"/>
      <c r="EC25" s="898"/>
      <c r="ED25" s="898"/>
      <c r="EE25" s="898"/>
      <c r="EF25" s="898"/>
      <c r="EG25" s="898"/>
      <c r="EH25" s="898"/>
      <c r="EI25" s="898"/>
      <c r="EJ25" s="898"/>
      <c r="EK25" s="898"/>
      <c r="EL25" s="898"/>
      <c r="EM25" s="898"/>
      <c r="EN25" s="898"/>
      <c r="EO25" s="898"/>
      <c r="EP25" s="898"/>
      <c r="EQ25" s="898"/>
      <c r="ER25" s="898"/>
      <c r="ES25" s="898"/>
      <c r="ET25" s="898"/>
      <c r="EU25" s="898"/>
      <c r="EV25" s="898"/>
      <c r="EW25" s="898"/>
      <c r="EX25" s="898"/>
      <c r="EY25" s="898"/>
      <c r="EZ25" s="898"/>
      <c r="FA25" s="898"/>
      <c r="FB25" s="898"/>
      <c r="FC25" s="898"/>
      <c r="FD25" s="898"/>
      <c r="FE25" s="898"/>
      <c r="FF25" s="898"/>
      <c r="FG25" s="898"/>
      <c r="FH25" s="898"/>
      <c r="FI25" s="898"/>
      <c r="FJ25" s="898"/>
      <c r="FK25" s="898"/>
      <c r="FL25" s="898"/>
      <c r="FM25" s="898"/>
      <c r="FN25" s="898"/>
      <c r="FO25" s="898"/>
      <c r="FP25" s="898"/>
      <c r="FQ25" s="898"/>
      <c r="FR25" s="898"/>
      <c r="FS25" s="898"/>
      <c r="FT25" s="898"/>
      <c r="FU25" s="898"/>
      <c r="FV25" s="898"/>
      <c r="FW25" s="898"/>
      <c r="FX25" s="898"/>
      <c r="FY25" s="898"/>
      <c r="FZ25" s="898"/>
      <c r="GA25" s="898"/>
      <c r="GB25" s="898"/>
      <c r="GC25" s="898"/>
      <c r="GD25" s="898"/>
      <c r="GE25" s="898"/>
      <c r="GF25" s="898"/>
      <c r="GG25" s="898"/>
      <c r="GH25" s="898"/>
      <c r="GI25" s="898"/>
      <c r="GJ25" s="898"/>
      <c r="GK25" s="898"/>
      <c r="GL25" s="898"/>
      <c r="GM25" s="898"/>
      <c r="GN25" s="898"/>
      <c r="GO25" s="898"/>
      <c r="GP25" s="898"/>
      <c r="GQ25" s="898"/>
      <c r="GR25" s="898"/>
      <c r="GS25" s="898"/>
      <c r="GT25" s="898"/>
      <c r="GU25" s="898"/>
      <c r="GV25" s="898"/>
      <c r="GW25" s="898"/>
      <c r="GX25" s="898"/>
      <c r="GY25" s="898"/>
      <c r="GZ25" s="898"/>
      <c r="HA25" s="898"/>
      <c r="HB25" s="898"/>
      <c r="HC25" s="898"/>
      <c r="HD25" s="898"/>
      <c r="HE25" s="898"/>
      <c r="HF25" s="898"/>
      <c r="HG25" s="898"/>
      <c r="HH25" s="898"/>
      <c r="HI25" s="898"/>
      <c r="HJ25" s="898"/>
      <c r="HK25" s="898"/>
      <c r="HL25" s="898"/>
      <c r="HM25" s="898"/>
      <c r="HN25" s="898"/>
      <c r="HO25" s="898"/>
      <c r="HP25" s="898"/>
      <c r="HQ25" s="898"/>
      <c r="HR25" s="898"/>
      <c r="HS25" s="898"/>
      <c r="HT25" s="898"/>
      <c r="HU25" s="898"/>
      <c r="HV25" s="898"/>
      <c r="HW25" s="898"/>
      <c r="HX25" s="898"/>
      <c r="HY25" s="898"/>
      <c r="HZ25" s="898"/>
      <c r="IA25" s="898"/>
      <c r="IB25" s="898"/>
      <c r="IC25" s="898"/>
      <c r="ID25" s="898"/>
      <c r="IE25" s="898"/>
      <c r="IF25" s="898"/>
      <c r="IG25" s="898"/>
      <c r="IH25" s="898"/>
      <c r="II25" s="898"/>
      <c r="IJ25" s="898"/>
      <c r="IK25" s="898"/>
      <c r="IL25" s="898"/>
      <c r="IM25" s="898"/>
      <c r="IN25" s="898"/>
      <c r="IO25" s="898"/>
      <c r="IP25" s="898"/>
      <c r="IQ25" s="898"/>
      <c r="IR25" s="898"/>
      <c r="IS25" s="898"/>
      <c r="IT25" s="898"/>
      <c r="IU25" s="898"/>
      <c r="IV25" s="898"/>
    </row>
    <row r="26" spans="1:256" ht="7.5" customHeight="1">
      <c r="A26" s="898" t="s">
        <v>16</v>
      </c>
      <c r="B26" s="898"/>
      <c r="C26" s="898"/>
      <c r="D26" s="865"/>
      <c r="E26" s="865"/>
      <c r="F26" s="865"/>
      <c r="G26" s="865"/>
      <c r="H26" s="865"/>
      <c r="I26" s="865"/>
      <c r="J26" s="865"/>
      <c r="K26" s="865"/>
      <c r="L26" s="865"/>
      <c r="M26" s="896"/>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c r="AK26" s="898"/>
      <c r="AL26" s="898"/>
      <c r="AM26" s="898"/>
      <c r="AN26" s="898"/>
      <c r="AO26" s="898"/>
      <c r="AP26" s="898"/>
      <c r="AQ26" s="898"/>
      <c r="AR26" s="898"/>
      <c r="AS26" s="898"/>
      <c r="AT26" s="898"/>
      <c r="AU26" s="898"/>
      <c r="AV26" s="898"/>
      <c r="AW26" s="898"/>
      <c r="AX26" s="898"/>
      <c r="AY26" s="898"/>
      <c r="AZ26" s="898"/>
      <c r="BA26" s="898"/>
      <c r="BB26" s="898"/>
      <c r="BC26" s="898"/>
      <c r="BD26" s="898"/>
      <c r="BE26" s="898"/>
      <c r="BF26" s="898"/>
      <c r="BG26" s="898"/>
      <c r="BH26" s="898"/>
      <c r="BI26" s="898"/>
      <c r="BJ26" s="898"/>
      <c r="BK26" s="898"/>
      <c r="BL26" s="898"/>
      <c r="BM26" s="898"/>
      <c r="BN26" s="898"/>
      <c r="BO26" s="898"/>
      <c r="BP26" s="898"/>
      <c r="BQ26" s="898"/>
      <c r="BR26" s="898"/>
      <c r="BS26" s="898"/>
      <c r="BT26" s="898"/>
      <c r="BU26" s="898"/>
      <c r="BV26" s="898"/>
      <c r="BW26" s="898"/>
      <c r="BX26" s="898"/>
      <c r="BY26" s="898"/>
      <c r="BZ26" s="898"/>
      <c r="CA26" s="898"/>
      <c r="CB26" s="898"/>
      <c r="CC26" s="898"/>
      <c r="CD26" s="898"/>
      <c r="CE26" s="898"/>
      <c r="CF26" s="898"/>
      <c r="CG26" s="898"/>
      <c r="CH26" s="898"/>
      <c r="CI26" s="898"/>
      <c r="CJ26" s="898"/>
      <c r="CK26" s="898"/>
      <c r="CL26" s="898"/>
      <c r="CM26" s="898"/>
      <c r="CN26" s="898"/>
      <c r="CO26" s="898"/>
      <c r="CP26" s="898"/>
      <c r="CQ26" s="898"/>
      <c r="CR26" s="898"/>
      <c r="CS26" s="898"/>
      <c r="CT26" s="898"/>
      <c r="CU26" s="898"/>
      <c r="CV26" s="898"/>
      <c r="CW26" s="898"/>
      <c r="CX26" s="898"/>
      <c r="CY26" s="898"/>
      <c r="CZ26" s="898"/>
      <c r="DA26" s="898"/>
      <c r="DB26" s="898"/>
      <c r="DC26" s="898"/>
      <c r="DD26" s="898"/>
      <c r="DE26" s="898"/>
      <c r="DF26" s="898"/>
      <c r="DG26" s="898"/>
      <c r="DH26" s="898"/>
      <c r="DI26" s="898"/>
      <c r="DJ26" s="898"/>
      <c r="DK26" s="898"/>
      <c r="DL26" s="898"/>
      <c r="DM26" s="898"/>
      <c r="DN26" s="898"/>
      <c r="DO26" s="898"/>
      <c r="DP26" s="898"/>
      <c r="DQ26" s="898"/>
      <c r="DR26" s="898"/>
      <c r="DS26" s="898"/>
      <c r="DT26" s="898"/>
      <c r="DU26" s="898"/>
      <c r="DV26" s="898"/>
      <c r="DW26" s="898"/>
      <c r="DX26" s="898"/>
      <c r="DY26" s="898"/>
      <c r="DZ26" s="898"/>
      <c r="EA26" s="898"/>
      <c r="EB26" s="898"/>
      <c r="EC26" s="898"/>
      <c r="ED26" s="898"/>
      <c r="EE26" s="898"/>
      <c r="EF26" s="898"/>
      <c r="EG26" s="898"/>
      <c r="EH26" s="898"/>
      <c r="EI26" s="898"/>
      <c r="EJ26" s="898"/>
      <c r="EK26" s="898"/>
      <c r="EL26" s="898"/>
      <c r="EM26" s="898"/>
      <c r="EN26" s="898"/>
      <c r="EO26" s="898"/>
      <c r="EP26" s="898"/>
      <c r="EQ26" s="898"/>
      <c r="ER26" s="898"/>
      <c r="ES26" s="898"/>
      <c r="ET26" s="898"/>
      <c r="EU26" s="898"/>
      <c r="EV26" s="898"/>
      <c r="EW26" s="898"/>
      <c r="EX26" s="898"/>
      <c r="EY26" s="898"/>
      <c r="EZ26" s="898"/>
      <c r="FA26" s="898"/>
      <c r="FB26" s="898"/>
      <c r="FC26" s="898"/>
      <c r="FD26" s="898"/>
      <c r="FE26" s="898"/>
      <c r="FF26" s="898"/>
      <c r="FG26" s="898"/>
      <c r="FH26" s="898"/>
      <c r="FI26" s="898"/>
      <c r="FJ26" s="898"/>
      <c r="FK26" s="898"/>
      <c r="FL26" s="898"/>
      <c r="FM26" s="898"/>
      <c r="FN26" s="898"/>
      <c r="FO26" s="898"/>
      <c r="FP26" s="898"/>
      <c r="FQ26" s="898"/>
      <c r="FR26" s="898"/>
      <c r="FS26" s="898"/>
      <c r="FT26" s="898"/>
      <c r="FU26" s="898"/>
      <c r="FV26" s="898"/>
      <c r="FW26" s="898"/>
      <c r="FX26" s="898"/>
      <c r="FY26" s="898"/>
      <c r="FZ26" s="898"/>
      <c r="GA26" s="898"/>
      <c r="GB26" s="898"/>
      <c r="GC26" s="898"/>
      <c r="GD26" s="898"/>
      <c r="GE26" s="898"/>
      <c r="GF26" s="898"/>
      <c r="GG26" s="898"/>
      <c r="GH26" s="898"/>
      <c r="GI26" s="898"/>
      <c r="GJ26" s="898"/>
      <c r="GK26" s="898"/>
      <c r="GL26" s="898"/>
      <c r="GM26" s="898"/>
      <c r="GN26" s="898"/>
      <c r="GO26" s="898"/>
      <c r="GP26" s="898"/>
      <c r="GQ26" s="898"/>
      <c r="GR26" s="898"/>
      <c r="GS26" s="898"/>
      <c r="GT26" s="898"/>
      <c r="GU26" s="898"/>
      <c r="GV26" s="898"/>
      <c r="GW26" s="898"/>
      <c r="GX26" s="898"/>
      <c r="GY26" s="898"/>
      <c r="GZ26" s="898"/>
      <c r="HA26" s="898"/>
      <c r="HB26" s="898"/>
      <c r="HC26" s="898"/>
      <c r="HD26" s="898"/>
      <c r="HE26" s="898"/>
      <c r="HF26" s="898"/>
      <c r="HG26" s="898"/>
      <c r="HH26" s="898"/>
      <c r="HI26" s="898"/>
      <c r="HJ26" s="898"/>
      <c r="HK26" s="898"/>
      <c r="HL26" s="898"/>
      <c r="HM26" s="898"/>
      <c r="HN26" s="898"/>
      <c r="HO26" s="898"/>
      <c r="HP26" s="898"/>
      <c r="HQ26" s="898"/>
      <c r="HR26" s="898"/>
      <c r="HS26" s="898"/>
      <c r="HT26" s="898"/>
      <c r="HU26" s="898"/>
      <c r="HV26" s="898"/>
      <c r="HW26" s="898"/>
      <c r="HX26" s="898"/>
      <c r="HY26" s="898"/>
      <c r="HZ26" s="898"/>
      <c r="IA26" s="898"/>
      <c r="IB26" s="898"/>
      <c r="IC26" s="898"/>
      <c r="ID26" s="898"/>
      <c r="IE26" s="898"/>
      <c r="IF26" s="898"/>
      <c r="IG26" s="898"/>
      <c r="IH26" s="898"/>
      <c r="II26" s="898"/>
      <c r="IJ26" s="898"/>
      <c r="IK26" s="898"/>
      <c r="IL26" s="898"/>
      <c r="IM26" s="898"/>
      <c r="IN26" s="898"/>
      <c r="IO26" s="898"/>
      <c r="IP26" s="898"/>
      <c r="IQ26" s="898"/>
      <c r="IR26" s="898"/>
      <c r="IS26" s="898"/>
      <c r="IT26" s="898"/>
      <c r="IU26" s="898"/>
      <c r="IV26" s="898"/>
    </row>
    <row r="27" spans="1:256" ht="16.5" customHeight="1">
      <c r="A27" s="898" t="s">
        <v>1385</v>
      </c>
      <c r="B27" s="898"/>
      <c r="C27" s="898" t="s">
        <v>16</v>
      </c>
      <c r="D27" s="870">
        <v>18.035</v>
      </c>
      <c r="E27" s="864"/>
      <c r="F27" s="1438">
        <v>4.835</v>
      </c>
      <c r="G27" s="864"/>
      <c r="H27" s="1438">
        <v>0</v>
      </c>
      <c r="I27" s="864"/>
      <c r="J27" s="1438">
        <v>0</v>
      </c>
      <c r="K27" s="864"/>
      <c r="L27" s="865">
        <f t="shared" ref="L27:L43" si="0">ROUND(D27+F27-H27+J27,3)</f>
        <v>22.87</v>
      </c>
      <c r="M27" s="905"/>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c r="AL27" s="898"/>
      <c r="AM27" s="898"/>
      <c r="AN27" s="898"/>
      <c r="AO27" s="898"/>
      <c r="AP27" s="898"/>
      <c r="AQ27" s="898"/>
      <c r="AR27" s="898"/>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c r="BP27" s="898"/>
      <c r="BQ27" s="898"/>
      <c r="BR27" s="898"/>
      <c r="BS27" s="898"/>
      <c r="BT27" s="898"/>
      <c r="BU27" s="898"/>
      <c r="BV27" s="898"/>
      <c r="BW27" s="898"/>
      <c r="BX27" s="898"/>
      <c r="BY27" s="898"/>
      <c r="BZ27" s="898"/>
      <c r="CA27" s="898"/>
      <c r="CB27" s="898"/>
      <c r="CC27" s="898"/>
      <c r="CD27" s="898"/>
      <c r="CE27" s="898"/>
      <c r="CF27" s="898"/>
      <c r="CG27" s="898"/>
      <c r="CH27" s="898"/>
      <c r="CI27" s="898"/>
      <c r="CJ27" s="898"/>
      <c r="CK27" s="898"/>
      <c r="CL27" s="898"/>
      <c r="CM27" s="898"/>
      <c r="CN27" s="898"/>
      <c r="CO27" s="898"/>
      <c r="CP27" s="898"/>
      <c r="CQ27" s="898"/>
      <c r="CR27" s="898"/>
      <c r="CS27" s="898"/>
      <c r="CT27" s="898"/>
      <c r="CU27" s="898"/>
      <c r="CV27" s="898"/>
      <c r="CW27" s="898"/>
      <c r="CX27" s="898"/>
      <c r="CY27" s="898"/>
      <c r="CZ27" s="898"/>
      <c r="DA27" s="898"/>
      <c r="DB27" s="898"/>
      <c r="DC27" s="898"/>
      <c r="DD27" s="898"/>
      <c r="DE27" s="898"/>
      <c r="DF27" s="898"/>
      <c r="DG27" s="898"/>
      <c r="DH27" s="898"/>
      <c r="DI27" s="898"/>
      <c r="DJ27" s="898"/>
      <c r="DK27" s="898"/>
      <c r="DL27" s="898"/>
      <c r="DM27" s="898"/>
      <c r="DN27" s="898"/>
      <c r="DO27" s="898"/>
      <c r="DP27" s="898"/>
      <c r="DQ27" s="898"/>
      <c r="DR27" s="898"/>
      <c r="DS27" s="898"/>
      <c r="DT27" s="898"/>
      <c r="DU27" s="898"/>
      <c r="DV27" s="898"/>
      <c r="DW27" s="898"/>
      <c r="DX27" s="898"/>
      <c r="DY27" s="898"/>
      <c r="DZ27" s="898"/>
      <c r="EA27" s="898"/>
      <c r="EB27" s="898"/>
      <c r="EC27" s="898"/>
      <c r="ED27" s="898"/>
      <c r="EE27" s="898"/>
      <c r="EF27" s="898"/>
      <c r="EG27" s="898"/>
      <c r="EH27" s="898"/>
      <c r="EI27" s="898"/>
      <c r="EJ27" s="898"/>
      <c r="EK27" s="898"/>
      <c r="EL27" s="898"/>
      <c r="EM27" s="898"/>
      <c r="EN27" s="898"/>
      <c r="EO27" s="898"/>
      <c r="EP27" s="898"/>
      <c r="EQ27" s="898"/>
      <c r="ER27" s="898"/>
      <c r="ES27" s="898"/>
      <c r="ET27" s="898"/>
      <c r="EU27" s="898"/>
      <c r="EV27" s="898"/>
      <c r="EW27" s="898"/>
      <c r="EX27" s="898"/>
      <c r="EY27" s="898"/>
      <c r="EZ27" s="898"/>
      <c r="FA27" s="898"/>
      <c r="FB27" s="898"/>
      <c r="FC27" s="898"/>
      <c r="FD27" s="898"/>
      <c r="FE27" s="898"/>
      <c r="FF27" s="898"/>
      <c r="FG27" s="898"/>
      <c r="FH27" s="898"/>
      <c r="FI27" s="898"/>
      <c r="FJ27" s="898"/>
      <c r="FK27" s="898"/>
      <c r="FL27" s="898"/>
      <c r="FM27" s="898"/>
      <c r="FN27" s="898"/>
      <c r="FO27" s="898"/>
      <c r="FP27" s="898"/>
      <c r="FQ27" s="898"/>
      <c r="FR27" s="898"/>
      <c r="FS27" s="898"/>
      <c r="FT27" s="898"/>
      <c r="FU27" s="898"/>
      <c r="FV27" s="898"/>
      <c r="FW27" s="898"/>
      <c r="FX27" s="898"/>
      <c r="FY27" s="898"/>
      <c r="FZ27" s="898"/>
      <c r="GA27" s="898"/>
      <c r="GB27" s="898"/>
      <c r="GC27" s="898"/>
      <c r="GD27" s="898"/>
      <c r="GE27" s="898"/>
      <c r="GF27" s="898"/>
      <c r="GG27" s="898"/>
      <c r="GH27" s="898"/>
      <c r="GI27" s="898"/>
      <c r="GJ27" s="898"/>
      <c r="GK27" s="898"/>
      <c r="GL27" s="898"/>
      <c r="GM27" s="898"/>
      <c r="GN27" s="898"/>
      <c r="GO27" s="898"/>
      <c r="GP27" s="898"/>
      <c r="GQ27" s="898"/>
      <c r="GR27" s="898"/>
      <c r="GS27" s="898"/>
      <c r="GT27" s="898"/>
      <c r="GU27" s="898"/>
      <c r="GV27" s="898"/>
      <c r="GW27" s="898"/>
      <c r="GX27" s="898"/>
      <c r="GY27" s="898"/>
      <c r="GZ27" s="898"/>
      <c r="HA27" s="898"/>
      <c r="HB27" s="898"/>
      <c r="HC27" s="898"/>
      <c r="HD27" s="898"/>
      <c r="HE27" s="898"/>
      <c r="HF27" s="898"/>
      <c r="HG27" s="898"/>
      <c r="HH27" s="898"/>
      <c r="HI27" s="898"/>
      <c r="HJ27" s="898"/>
      <c r="HK27" s="898"/>
      <c r="HL27" s="898"/>
      <c r="HM27" s="898"/>
      <c r="HN27" s="898"/>
      <c r="HO27" s="898"/>
      <c r="HP27" s="898"/>
      <c r="HQ27" s="898"/>
      <c r="HR27" s="898"/>
      <c r="HS27" s="898"/>
      <c r="HT27" s="898"/>
      <c r="HU27" s="898"/>
      <c r="HV27" s="898"/>
      <c r="HW27" s="898"/>
      <c r="HX27" s="898"/>
      <c r="HY27" s="898"/>
      <c r="HZ27" s="898"/>
      <c r="IA27" s="898"/>
      <c r="IB27" s="898"/>
      <c r="IC27" s="898"/>
      <c r="ID27" s="898"/>
      <c r="IE27" s="898"/>
      <c r="IF27" s="898"/>
      <c r="IG27" s="898"/>
      <c r="IH27" s="898"/>
      <c r="II27" s="898"/>
      <c r="IJ27" s="898"/>
      <c r="IK27" s="898"/>
      <c r="IL27" s="898"/>
      <c r="IM27" s="898"/>
      <c r="IN27" s="898"/>
      <c r="IO27" s="898"/>
      <c r="IP27" s="898"/>
      <c r="IQ27" s="898"/>
      <c r="IR27" s="898"/>
      <c r="IS27" s="898"/>
      <c r="IT27" s="898"/>
      <c r="IU27" s="898"/>
      <c r="IV27" s="898"/>
    </row>
    <row r="28" spans="1:256" ht="15.75" customHeight="1">
      <c r="A28" s="1429" t="s">
        <v>398</v>
      </c>
      <c r="B28" s="898"/>
      <c r="C28" s="898"/>
      <c r="D28" s="870">
        <v>0.23699999999999999</v>
      </c>
      <c r="E28" s="864"/>
      <c r="F28" s="1438">
        <v>2E-3</v>
      </c>
      <c r="G28" s="1439"/>
      <c r="H28" s="1438">
        <v>1E-3</v>
      </c>
      <c r="I28" s="1439"/>
      <c r="J28" s="1438">
        <v>0</v>
      </c>
      <c r="K28" s="1439"/>
      <c r="L28" s="865">
        <f t="shared" si="0"/>
        <v>0.23799999999999999</v>
      </c>
      <c r="M28" s="905"/>
      <c r="N28" s="898"/>
      <c r="O28" s="898"/>
      <c r="P28" s="898"/>
      <c r="Q28" s="898"/>
      <c r="R28" s="898"/>
      <c r="S28" s="898"/>
      <c r="T28" s="898"/>
      <c r="U28" s="898"/>
      <c r="V28" s="898"/>
      <c r="W28" s="898"/>
      <c r="X28" s="898"/>
      <c r="Y28" s="898"/>
      <c r="Z28" s="898"/>
      <c r="AA28" s="898"/>
      <c r="AB28" s="898"/>
      <c r="AC28" s="898"/>
      <c r="AD28" s="898"/>
      <c r="AE28" s="898"/>
      <c r="AF28" s="898"/>
      <c r="AG28" s="898"/>
      <c r="AH28" s="898"/>
      <c r="AI28" s="898"/>
      <c r="AJ28" s="898"/>
      <c r="AK28" s="898"/>
      <c r="AL28" s="898"/>
      <c r="AM28" s="898"/>
      <c r="AN28" s="898"/>
      <c r="AO28" s="898"/>
      <c r="AP28" s="898"/>
      <c r="AQ28" s="898"/>
      <c r="AR28" s="898"/>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c r="BP28" s="898"/>
      <c r="BQ28" s="898"/>
      <c r="BR28" s="898"/>
      <c r="BS28" s="898"/>
      <c r="BT28" s="898"/>
      <c r="BU28" s="898"/>
      <c r="BV28" s="898"/>
      <c r="BW28" s="898"/>
      <c r="BX28" s="898"/>
      <c r="BY28" s="898"/>
      <c r="BZ28" s="898"/>
      <c r="CA28" s="898"/>
      <c r="CB28" s="898"/>
      <c r="CC28" s="898"/>
      <c r="CD28" s="898"/>
      <c r="CE28" s="898"/>
      <c r="CF28" s="898"/>
      <c r="CG28" s="898"/>
      <c r="CH28" s="898"/>
      <c r="CI28" s="898"/>
      <c r="CJ28" s="898"/>
      <c r="CK28" s="898"/>
      <c r="CL28" s="898"/>
      <c r="CM28" s="898"/>
      <c r="CN28" s="898"/>
      <c r="CO28" s="898"/>
      <c r="CP28" s="898"/>
      <c r="CQ28" s="898"/>
      <c r="CR28" s="898"/>
      <c r="CS28" s="898"/>
      <c r="CT28" s="898"/>
      <c r="CU28" s="898"/>
      <c r="CV28" s="898"/>
      <c r="CW28" s="898"/>
      <c r="CX28" s="898"/>
      <c r="CY28" s="898"/>
      <c r="CZ28" s="898"/>
      <c r="DA28" s="898"/>
      <c r="DB28" s="898"/>
      <c r="DC28" s="898"/>
      <c r="DD28" s="898"/>
      <c r="DE28" s="898"/>
      <c r="DF28" s="898"/>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898"/>
      <c r="EU28" s="898"/>
      <c r="EV28" s="898"/>
      <c r="EW28" s="898"/>
      <c r="EX28" s="898"/>
      <c r="EY28" s="898"/>
      <c r="EZ28" s="898"/>
      <c r="FA28" s="898"/>
      <c r="FB28" s="898"/>
      <c r="FC28" s="898"/>
      <c r="FD28" s="898"/>
      <c r="FE28" s="898"/>
      <c r="FF28" s="898"/>
      <c r="FG28" s="898"/>
      <c r="FH28" s="898"/>
      <c r="FI28" s="898"/>
      <c r="FJ28" s="898"/>
      <c r="FK28" s="898"/>
      <c r="FL28" s="898"/>
      <c r="FM28" s="898"/>
      <c r="FN28" s="898"/>
      <c r="FO28" s="898"/>
      <c r="FP28" s="898"/>
      <c r="FQ28" s="898"/>
      <c r="FR28" s="898"/>
      <c r="FS28" s="898"/>
      <c r="FT28" s="898"/>
      <c r="FU28" s="898"/>
      <c r="FV28" s="898"/>
      <c r="FW28" s="898"/>
      <c r="FX28" s="898"/>
      <c r="FY28" s="898"/>
      <c r="FZ28" s="898"/>
      <c r="GA28" s="898"/>
      <c r="GB28" s="898"/>
      <c r="GC28" s="898"/>
      <c r="GD28" s="898"/>
      <c r="GE28" s="898"/>
      <c r="GF28" s="898"/>
      <c r="GG28" s="898"/>
      <c r="GH28" s="898"/>
      <c r="GI28" s="898"/>
      <c r="GJ28" s="898"/>
      <c r="GK28" s="898"/>
      <c r="GL28" s="898"/>
      <c r="GM28" s="898"/>
      <c r="GN28" s="898"/>
      <c r="GO28" s="898"/>
      <c r="GP28" s="898"/>
      <c r="GQ28" s="898"/>
      <c r="GR28" s="898"/>
      <c r="GS28" s="898"/>
      <c r="GT28" s="898"/>
      <c r="GU28" s="898"/>
      <c r="GV28" s="898"/>
      <c r="GW28" s="898"/>
      <c r="GX28" s="898"/>
      <c r="GY28" s="898"/>
      <c r="GZ28" s="898"/>
      <c r="HA28" s="898"/>
      <c r="HB28" s="898"/>
      <c r="HC28" s="898"/>
      <c r="HD28" s="898"/>
      <c r="HE28" s="898"/>
      <c r="HF28" s="898"/>
      <c r="HG28" s="898"/>
      <c r="HH28" s="898"/>
      <c r="HI28" s="898"/>
      <c r="HJ28" s="898"/>
      <c r="HK28" s="898"/>
      <c r="HL28" s="898"/>
      <c r="HM28" s="898"/>
      <c r="HN28" s="898"/>
      <c r="HO28" s="898"/>
      <c r="HP28" s="898"/>
      <c r="HQ28" s="898"/>
      <c r="HR28" s="898"/>
      <c r="HS28" s="898"/>
      <c r="HT28" s="898"/>
      <c r="HU28" s="898"/>
      <c r="HV28" s="898"/>
      <c r="HW28" s="898"/>
      <c r="HX28" s="898"/>
      <c r="HY28" s="898"/>
      <c r="HZ28" s="898"/>
      <c r="IA28" s="898"/>
      <c r="IB28" s="898"/>
      <c r="IC28" s="898"/>
      <c r="ID28" s="898"/>
      <c r="IE28" s="898"/>
      <c r="IF28" s="898"/>
      <c r="IG28" s="898"/>
      <c r="IH28" s="898"/>
      <c r="II28" s="898"/>
      <c r="IJ28" s="898"/>
      <c r="IK28" s="898"/>
      <c r="IL28" s="898"/>
      <c r="IM28" s="898"/>
      <c r="IN28" s="898"/>
      <c r="IO28" s="898"/>
      <c r="IP28" s="898"/>
      <c r="IQ28" s="898"/>
      <c r="IR28" s="898"/>
      <c r="IS28" s="898"/>
      <c r="IT28" s="898"/>
      <c r="IU28" s="898"/>
      <c r="IV28" s="898"/>
    </row>
    <row r="29" spans="1:256" ht="16.5" customHeight="1">
      <c r="A29" s="898" t="s">
        <v>399</v>
      </c>
      <c r="B29" s="898"/>
      <c r="C29" s="898"/>
      <c r="D29" s="870">
        <v>728.428</v>
      </c>
      <c r="E29" s="864"/>
      <c r="F29" s="1439">
        <v>743.65200000000004</v>
      </c>
      <c r="G29" s="1439"/>
      <c r="H29" s="1439">
        <v>670.62</v>
      </c>
      <c r="I29" s="1439"/>
      <c r="J29" s="1438">
        <v>0</v>
      </c>
      <c r="K29" s="1439"/>
      <c r="L29" s="865">
        <f t="shared" si="0"/>
        <v>801.46</v>
      </c>
      <c r="M29" s="905"/>
      <c r="N29" s="898"/>
      <c r="O29" s="898"/>
      <c r="P29" s="898"/>
      <c r="Q29" s="898"/>
      <c r="R29" s="898"/>
      <c r="S29" s="898"/>
      <c r="T29" s="898"/>
      <c r="U29" s="898"/>
      <c r="V29" s="898"/>
      <c r="W29" s="898"/>
      <c r="X29" s="898"/>
      <c r="Y29" s="898"/>
      <c r="Z29" s="898"/>
      <c r="AA29" s="898"/>
      <c r="AB29" s="898"/>
      <c r="AC29" s="898"/>
      <c r="AD29" s="898"/>
      <c r="AE29" s="898"/>
      <c r="AF29" s="898"/>
      <c r="AG29" s="898"/>
      <c r="AH29" s="898"/>
      <c r="AI29" s="898"/>
      <c r="AJ29" s="898"/>
      <c r="AK29" s="898"/>
      <c r="AL29" s="898"/>
      <c r="AM29" s="898"/>
      <c r="AN29" s="898"/>
      <c r="AO29" s="898"/>
      <c r="AP29" s="898"/>
      <c r="AQ29" s="898"/>
      <c r="AR29" s="898"/>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c r="BP29" s="898"/>
      <c r="BQ29" s="898"/>
      <c r="BR29" s="898"/>
      <c r="BS29" s="898"/>
      <c r="BT29" s="898"/>
      <c r="BU29" s="898"/>
      <c r="BV29" s="898"/>
      <c r="BW29" s="898"/>
      <c r="BX29" s="898"/>
      <c r="BY29" s="898"/>
      <c r="BZ29" s="898"/>
      <c r="CA29" s="898"/>
      <c r="CB29" s="898"/>
      <c r="CC29" s="898"/>
      <c r="CD29" s="898"/>
      <c r="CE29" s="898"/>
      <c r="CF29" s="898"/>
      <c r="CG29" s="898"/>
      <c r="CH29" s="898"/>
      <c r="CI29" s="898"/>
      <c r="CJ29" s="898"/>
      <c r="CK29" s="898"/>
      <c r="CL29" s="898"/>
      <c r="CM29" s="898"/>
      <c r="CN29" s="898"/>
      <c r="CO29" s="898"/>
      <c r="CP29" s="898"/>
      <c r="CQ29" s="898"/>
      <c r="CR29" s="898"/>
      <c r="CS29" s="898"/>
      <c r="CT29" s="898"/>
      <c r="CU29" s="898"/>
      <c r="CV29" s="898"/>
      <c r="CW29" s="898"/>
      <c r="CX29" s="898"/>
      <c r="CY29" s="898"/>
      <c r="CZ29" s="898"/>
      <c r="DA29" s="898"/>
      <c r="DB29" s="898"/>
      <c r="DC29" s="898"/>
      <c r="DD29" s="898"/>
      <c r="DE29" s="898"/>
      <c r="DF29" s="898"/>
      <c r="DG29" s="898"/>
      <c r="DH29" s="898"/>
      <c r="DI29" s="898"/>
      <c r="DJ29" s="898"/>
      <c r="DK29" s="898"/>
      <c r="DL29" s="898"/>
      <c r="DM29" s="898"/>
      <c r="DN29" s="898"/>
      <c r="DO29" s="898"/>
      <c r="DP29" s="898"/>
      <c r="DQ29" s="898"/>
      <c r="DR29" s="898"/>
      <c r="DS29" s="898"/>
      <c r="DT29" s="898"/>
      <c r="DU29" s="898"/>
      <c r="DV29" s="898"/>
      <c r="DW29" s="898"/>
      <c r="DX29" s="898"/>
      <c r="DY29" s="898"/>
      <c r="DZ29" s="898"/>
      <c r="EA29" s="898"/>
      <c r="EB29" s="898"/>
      <c r="EC29" s="898"/>
      <c r="ED29" s="898"/>
      <c r="EE29" s="898"/>
      <c r="EF29" s="898"/>
      <c r="EG29" s="898"/>
      <c r="EH29" s="898"/>
      <c r="EI29" s="898"/>
      <c r="EJ29" s="898"/>
      <c r="EK29" s="898"/>
      <c r="EL29" s="898"/>
      <c r="EM29" s="898"/>
      <c r="EN29" s="898"/>
      <c r="EO29" s="898"/>
      <c r="EP29" s="898"/>
      <c r="EQ29" s="898"/>
      <c r="ER29" s="898"/>
      <c r="ES29" s="898"/>
      <c r="ET29" s="898"/>
      <c r="EU29" s="898"/>
      <c r="EV29" s="898"/>
      <c r="EW29" s="898"/>
      <c r="EX29" s="898"/>
      <c r="EY29" s="898"/>
      <c r="EZ29" s="898"/>
      <c r="FA29" s="898"/>
      <c r="FB29" s="898"/>
      <c r="FC29" s="898"/>
      <c r="FD29" s="898"/>
      <c r="FE29" s="898"/>
      <c r="FF29" s="898"/>
      <c r="FG29" s="898"/>
      <c r="FH29" s="898"/>
      <c r="FI29" s="898"/>
      <c r="FJ29" s="898"/>
      <c r="FK29" s="898"/>
      <c r="FL29" s="898"/>
      <c r="FM29" s="898"/>
      <c r="FN29" s="898"/>
      <c r="FO29" s="898"/>
      <c r="FP29" s="898"/>
      <c r="FQ29" s="898"/>
      <c r="FR29" s="898"/>
      <c r="FS29" s="898"/>
      <c r="FT29" s="898"/>
      <c r="FU29" s="898"/>
      <c r="FV29" s="898"/>
      <c r="FW29" s="898"/>
      <c r="FX29" s="898"/>
      <c r="FY29" s="898"/>
      <c r="FZ29" s="898"/>
      <c r="GA29" s="898"/>
      <c r="GB29" s="898"/>
      <c r="GC29" s="898"/>
      <c r="GD29" s="898"/>
      <c r="GE29" s="898"/>
      <c r="GF29" s="898"/>
      <c r="GG29" s="898"/>
      <c r="GH29" s="898"/>
      <c r="GI29" s="898"/>
      <c r="GJ29" s="898"/>
      <c r="GK29" s="898"/>
      <c r="GL29" s="898"/>
      <c r="GM29" s="898"/>
      <c r="GN29" s="898"/>
      <c r="GO29" s="898"/>
      <c r="GP29" s="898"/>
      <c r="GQ29" s="898"/>
      <c r="GR29" s="898"/>
      <c r="GS29" s="898"/>
      <c r="GT29" s="898"/>
      <c r="GU29" s="898"/>
      <c r="GV29" s="898"/>
      <c r="GW29" s="898"/>
      <c r="GX29" s="898"/>
      <c r="GY29" s="898"/>
      <c r="GZ29" s="898"/>
      <c r="HA29" s="898"/>
      <c r="HB29" s="898"/>
      <c r="HC29" s="898"/>
      <c r="HD29" s="898"/>
      <c r="HE29" s="898"/>
      <c r="HF29" s="898"/>
      <c r="HG29" s="898"/>
      <c r="HH29" s="898"/>
      <c r="HI29" s="898"/>
      <c r="HJ29" s="898"/>
      <c r="HK29" s="898"/>
      <c r="HL29" s="898"/>
      <c r="HM29" s="898"/>
      <c r="HN29" s="898"/>
      <c r="HO29" s="898"/>
      <c r="HP29" s="898"/>
      <c r="HQ29" s="898"/>
      <c r="HR29" s="898"/>
      <c r="HS29" s="898"/>
      <c r="HT29" s="898"/>
      <c r="HU29" s="898"/>
      <c r="HV29" s="898"/>
      <c r="HW29" s="898"/>
      <c r="HX29" s="898"/>
      <c r="HY29" s="898"/>
      <c r="HZ29" s="898"/>
      <c r="IA29" s="898"/>
      <c r="IB29" s="898"/>
      <c r="IC29" s="898"/>
      <c r="ID29" s="898"/>
      <c r="IE29" s="898"/>
      <c r="IF29" s="898"/>
      <c r="IG29" s="898"/>
      <c r="IH29" s="898"/>
      <c r="II29" s="898"/>
      <c r="IJ29" s="898"/>
      <c r="IK29" s="898"/>
      <c r="IL29" s="898"/>
      <c r="IM29" s="898"/>
      <c r="IN29" s="898"/>
      <c r="IO29" s="898"/>
      <c r="IP29" s="898"/>
      <c r="IQ29" s="898"/>
      <c r="IR29" s="898"/>
      <c r="IS29" s="898"/>
      <c r="IT29" s="898"/>
      <c r="IU29" s="898"/>
      <c r="IV29" s="898"/>
    </row>
    <row r="30" spans="1:256" ht="16.5" customHeight="1">
      <c r="A30" s="898" t="s">
        <v>400</v>
      </c>
      <c r="B30" s="898"/>
      <c r="C30" s="898" t="s">
        <v>16</v>
      </c>
      <c r="D30" s="870">
        <v>14.534000000000001</v>
      </c>
      <c r="E30" s="864"/>
      <c r="F30" s="1440">
        <v>99.686999999999998</v>
      </c>
      <c r="G30" s="1439"/>
      <c r="H30" s="1439">
        <v>99.638999999999996</v>
      </c>
      <c r="I30" s="1439"/>
      <c r="J30" s="1438">
        <v>0</v>
      </c>
      <c r="K30" s="1439"/>
      <c r="L30" s="865">
        <f t="shared" si="0"/>
        <v>14.582000000000001</v>
      </c>
      <c r="M30" s="905"/>
      <c r="N30" s="898"/>
      <c r="O30" s="898"/>
      <c r="P30" s="898"/>
      <c r="Q30" s="898"/>
      <c r="R30" s="898"/>
      <c r="S30" s="898"/>
      <c r="T30" s="898"/>
      <c r="U30" s="898"/>
      <c r="V30" s="898"/>
      <c r="W30" s="898"/>
      <c r="X30" s="898"/>
      <c r="Y30" s="898"/>
      <c r="Z30" s="898"/>
      <c r="AA30" s="898"/>
      <c r="AB30" s="898"/>
      <c r="AC30" s="898"/>
      <c r="AD30" s="898"/>
      <c r="AE30" s="898"/>
      <c r="AF30" s="898"/>
      <c r="AG30" s="898"/>
      <c r="AH30" s="898"/>
      <c r="AI30" s="898"/>
      <c r="AJ30" s="898"/>
      <c r="AK30" s="898"/>
      <c r="AL30" s="898"/>
      <c r="AM30" s="898"/>
      <c r="AN30" s="898"/>
      <c r="AO30" s="898"/>
      <c r="AP30" s="898"/>
      <c r="AQ30" s="898"/>
      <c r="AR30" s="898"/>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c r="BP30" s="898"/>
      <c r="BQ30" s="898"/>
      <c r="BR30" s="898"/>
      <c r="BS30" s="898"/>
      <c r="BT30" s="898"/>
      <c r="BU30" s="898"/>
      <c r="BV30" s="898"/>
      <c r="BW30" s="898"/>
      <c r="BX30" s="898"/>
      <c r="BY30" s="898"/>
      <c r="BZ30" s="898"/>
      <c r="CA30" s="898"/>
      <c r="CB30" s="898"/>
      <c r="CC30" s="898"/>
      <c r="CD30" s="898"/>
      <c r="CE30" s="898"/>
      <c r="CF30" s="898"/>
      <c r="CG30" s="898"/>
      <c r="CH30" s="898"/>
      <c r="CI30" s="898"/>
      <c r="CJ30" s="898"/>
      <c r="CK30" s="898"/>
      <c r="CL30" s="898"/>
      <c r="CM30" s="898"/>
      <c r="CN30" s="898"/>
      <c r="CO30" s="898"/>
      <c r="CP30" s="898"/>
      <c r="CQ30" s="898"/>
      <c r="CR30" s="898"/>
      <c r="CS30" s="898"/>
      <c r="CT30" s="898"/>
      <c r="CU30" s="898"/>
      <c r="CV30" s="898"/>
      <c r="CW30" s="898"/>
      <c r="CX30" s="898"/>
      <c r="CY30" s="898"/>
      <c r="CZ30" s="898"/>
      <c r="DA30" s="898"/>
      <c r="DB30" s="898"/>
      <c r="DC30" s="898"/>
      <c r="DD30" s="898"/>
      <c r="DE30" s="898"/>
      <c r="DF30" s="898"/>
      <c r="DG30" s="898"/>
      <c r="DH30" s="898"/>
      <c r="DI30" s="898"/>
      <c r="DJ30" s="898"/>
      <c r="DK30" s="898"/>
      <c r="DL30" s="898"/>
      <c r="DM30" s="898"/>
      <c r="DN30" s="898"/>
      <c r="DO30" s="898"/>
      <c r="DP30" s="898"/>
      <c r="DQ30" s="898"/>
      <c r="DR30" s="898"/>
      <c r="DS30" s="898"/>
      <c r="DT30" s="898"/>
      <c r="DU30" s="898"/>
      <c r="DV30" s="898"/>
      <c r="DW30" s="898"/>
      <c r="DX30" s="898"/>
      <c r="DY30" s="898"/>
      <c r="DZ30" s="898"/>
      <c r="EA30" s="898"/>
      <c r="EB30" s="898"/>
      <c r="EC30" s="898"/>
      <c r="ED30" s="898"/>
      <c r="EE30" s="898"/>
      <c r="EF30" s="898"/>
      <c r="EG30" s="898"/>
      <c r="EH30" s="898"/>
      <c r="EI30" s="898"/>
      <c r="EJ30" s="898"/>
      <c r="EK30" s="898"/>
      <c r="EL30" s="898"/>
      <c r="EM30" s="898"/>
      <c r="EN30" s="898"/>
      <c r="EO30" s="898"/>
      <c r="EP30" s="898"/>
      <c r="EQ30" s="898"/>
      <c r="ER30" s="898"/>
      <c r="ES30" s="898"/>
      <c r="ET30" s="898"/>
      <c r="EU30" s="898"/>
      <c r="EV30" s="898"/>
      <c r="EW30" s="898"/>
      <c r="EX30" s="898"/>
      <c r="EY30" s="898"/>
      <c r="EZ30" s="898"/>
      <c r="FA30" s="898"/>
      <c r="FB30" s="898"/>
      <c r="FC30" s="898"/>
      <c r="FD30" s="898"/>
      <c r="FE30" s="898"/>
      <c r="FF30" s="898"/>
      <c r="FG30" s="898"/>
      <c r="FH30" s="898"/>
      <c r="FI30" s="898"/>
      <c r="FJ30" s="898"/>
      <c r="FK30" s="898"/>
      <c r="FL30" s="898"/>
      <c r="FM30" s="898"/>
      <c r="FN30" s="898"/>
      <c r="FO30" s="898"/>
      <c r="FP30" s="898"/>
      <c r="FQ30" s="898"/>
      <c r="FR30" s="898"/>
      <c r="FS30" s="898"/>
      <c r="FT30" s="898"/>
      <c r="FU30" s="898"/>
      <c r="FV30" s="898"/>
      <c r="FW30" s="898"/>
      <c r="FX30" s="898"/>
      <c r="FY30" s="898"/>
      <c r="FZ30" s="898"/>
      <c r="GA30" s="898"/>
      <c r="GB30" s="898"/>
      <c r="GC30" s="898"/>
      <c r="GD30" s="898"/>
      <c r="GE30" s="898"/>
      <c r="GF30" s="898"/>
      <c r="GG30" s="898"/>
      <c r="GH30" s="898"/>
      <c r="GI30" s="898"/>
      <c r="GJ30" s="898"/>
      <c r="GK30" s="898"/>
      <c r="GL30" s="898"/>
      <c r="GM30" s="898"/>
      <c r="GN30" s="898"/>
      <c r="GO30" s="898"/>
      <c r="GP30" s="898"/>
      <c r="GQ30" s="898"/>
      <c r="GR30" s="898"/>
      <c r="GS30" s="898"/>
      <c r="GT30" s="898"/>
      <c r="GU30" s="898"/>
      <c r="GV30" s="898"/>
      <c r="GW30" s="898"/>
      <c r="GX30" s="898"/>
      <c r="GY30" s="898"/>
      <c r="GZ30" s="898"/>
      <c r="HA30" s="898"/>
      <c r="HB30" s="898"/>
      <c r="HC30" s="898"/>
      <c r="HD30" s="898"/>
      <c r="HE30" s="898"/>
      <c r="HF30" s="898"/>
      <c r="HG30" s="898"/>
      <c r="HH30" s="898"/>
      <c r="HI30" s="898"/>
      <c r="HJ30" s="898"/>
      <c r="HK30" s="898"/>
      <c r="HL30" s="898"/>
      <c r="HM30" s="898"/>
      <c r="HN30" s="898"/>
      <c r="HO30" s="898"/>
      <c r="HP30" s="898"/>
      <c r="HQ30" s="898"/>
      <c r="HR30" s="898"/>
      <c r="HS30" s="898"/>
      <c r="HT30" s="898"/>
      <c r="HU30" s="898"/>
      <c r="HV30" s="898"/>
      <c r="HW30" s="898"/>
      <c r="HX30" s="898"/>
      <c r="HY30" s="898"/>
      <c r="HZ30" s="898"/>
      <c r="IA30" s="898"/>
      <c r="IB30" s="898"/>
      <c r="IC30" s="898"/>
      <c r="ID30" s="898"/>
      <c r="IE30" s="898"/>
      <c r="IF30" s="898"/>
      <c r="IG30" s="898"/>
      <c r="IH30" s="898"/>
      <c r="II30" s="898"/>
      <c r="IJ30" s="898"/>
      <c r="IK30" s="898"/>
      <c r="IL30" s="898"/>
      <c r="IM30" s="898"/>
      <c r="IN30" s="898"/>
      <c r="IO30" s="898"/>
      <c r="IP30" s="898"/>
      <c r="IQ30" s="898"/>
      <c r="IR30" s="898"/>
      <c r="IS30" s="898"/>
      <c r="IT30" s="898"/>
      <c r="IU30" s="898"/>
      <c r="IV30" s="898"/>
    </row>
    <row r="31" spans="1:256" ht="16.5" customHeight="1">
      <c r="A31" s="898" t="s">
        <v>1400</v>
      </c>
      <c r="B31" s="898"/>
      <c r="C31" s="898"/>
      <c r="D31" s="870">
        <v>-5.4850000000000003</v>
      </c>
      <c r="E31" s="864"/>
      <c r="F31" s="1439">
        <v>389.42099999999999</v>
      </c>
      <c r="G31" s="1439"/>
      <c r="H31" s="1439">
        <v>365.89499999999998</v>
      </c>
      <c r="I31" s="1439"/>
      <c r="J31" s="1438">
        <v>0</v>
      </c>
      <c r="K31" s="1439"/>
      <c r="L31" s="865">
        <f t="shared" si="0"/>
        <v>18.041</v>
      </c>
      <c r="M31" s="905"/>
      <c r="N31" s="766"/>
      <c r="O31" s="898"/>
      <c r="P31" s="898"/>
      <c r="Q31" s="898"/>
      <c r="R31" s="898"/>
      <c r="S31" s="898"/>
      <c r="T31" s="898"/>
      <c r="U31" s="898"/>
      <c r="V31" s="898"/>
      <c r="W31" s="898"/>
      <c r="X31" s="898"/>
      <c r="Y31" s="898"/>
      <c r="Z31" s="898"/>
      <c r="AA31" s="898"/>
      <c r="AB31" s="898"/>
      <c r="AC31" s="898"/>
      <c r="AD31" s="898"/>
      <c r="AE31" s="898"/>
      <c r="AF31" s="898"/>
      <c r="AG31" s="898"/>
      <c r="AH31" s="898"/>
      <c r="AI31" s="898"/>
      <c r="AJ31" s="898"/>
      <c r="AK31" s="898"/>
      <c r="AL31" s="898"/>
      <c r="AM31" s="898"/>
      <c r="AN31" s="898"/>
      <c r="AO31" s="898"/>
      <c r="AP31" s="898"/>
      <c r="AQ31" s="898"/>
      <c r="AR31" s="898"/>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c r="BP31" s="898"/>
      <c r="BQ31" s="898"/>
      <c r="BR31" s="898"/>
      <c r="BS31" s="898"/>
      <c r="BT31" s="898"/>
      <c r="BU31" s="898"/>
      <c r="BV31" s="898"/>
      <c r="BW31" s="898"/>
      <c r="BX31" s="898"/>
      <c r="BY31" s="898"/>
      <c r="BZ31" s="898"/>
      <c r="CA31" s="898"/>
      <c r="CB31" s="898"/>
      <c r="CC31" s="898"/>
      <c r="CD31" s="898"/>
      <c r="CE31" s="898"/>
      <c r="CF31" s="898"/>
      <c r="CG31" s="898"/>
      <c r="CH31" s="898"/>
      <c r="CI31" s="898"/>
      <c r="CJ31" s="898"/>
      <c r="CK31" s="898"/>
      <c r="CL31" s="898"/>
      <c r="CM31" s="898"/>
      <c r="CN31" s="898"/>
      <c r="CO31" s="898"/>
      <c r="CP31" s="898"/>
      <c r="CQ31" s="898"/>
      <c r="CR31" s="898"/>
      <c r="CS31" s="898"/>
      <c r="CT31" s="898"/>
      <c r="CU31" s="898"/>
      <c r="CV31" s="898"/>
      <c r="CW31" s="898"/>
      <c r="CX31" s="898"/>
      <c r="CY31" s="898"/>
      <c r="CZ31" s="898"/>
      <c r="DA31" s="898"/>
      <c r="DB31" s="898"/>
      <c r="DC31" s="898"/>
      <c r="DD31" s="898"/>
      <c r="DE31" s="898"/>
      <c r="DF31" s="898"/>
      <c r="DG31" s="898"/>
      <c r="DH31" s="898"/>
      <c r="DI31" s="898"/>
      <c r="DJ31" s="898"/>
      <c r="DK31" s="898"/>
      <c r="DL31" s="898"/>
      <c r="DM31" s="898"/>
      <c r="DN31" s="898"/>
      <c r="DO31" s="898"/>
      <c r="DP31" s="898"/>
      <c r="DQ31" s="898"/>
      <c r="DR31" s="898"/>
      <c r="DS31" s="898"/>
      <c r="DT31" s="898"/>
      <c r="DU31" s="898"/>
      <c r="DV31" s="898"/>
      <c r="DW31" s="898"/>
      <c r="DX31" s="898"/>
      <c r="DY31" s="898"/>
      <c r="DZ31" s="898"/>
      <c r="EA31" s="898"/>
      <c r="EB31" s="898"/>
      <c r="EC31" s="898"/>
      <c r="ED31" s="898"/>
      <c r="EE31" s="898"/>
      <c r="EF31" s="898"/>
      <c r="EG31" s="898"/>
      <c r="EH31" s="898"/>
      <c r="EI31" s="898"/>
      <c r="EJ31" s="898"/>
      <c r="EK31" s="898"/>
      <c r="EL31" s="898"/>
      <c r="EM31" s="898"/>
      <c r="EN31" s="898"/>
      <c r="EO31" s="898"/>
      <c r="EP31" s="898"/>
      <c r="EQ31" s="898"/>
      <c r="ER31" s="898"/>
      <c r="ES31" s="898"/>
      <c r="ET31" s="898"/>
      <c r="EU31" s="898"/>
      <c r="EV31" s="898"/>
      <c r="EW31" s="898"/>
      <c r="EX31" s="898"/>
      <c r="EY31" s="898"/>
      <c r="EZ31" s="898"/>
      <c r="FA31" s="898"/>
      <c r="FB31" s="898"/>
      <c r="FC31" s="898"/>
      <c r="FD31" s="898"/>
      <c r="FE31" s="898"/>
      <c r="FF31" s="898"/>
      <c r="FG31" s="898"/>
      <c r="FH31" s="898"/>
      <c r="FI31" s="898"/>
      <c r="FJ31" s="898"/>
      <c r="FK31" s="898"/>
      <c r="FL31" s="898"/>
      <c r="FM31" s="898"/>
      <c r="FN31" s="898"/>
      <c r="FO31" s="898"/>
      <c r="FP31" s="898"/>
      <c r="FQ31" s="898"/>
      <c r="FR31" s="898"/>
      <c r="FS31" s="898"/>
      <c r="FT31" s="898"/>
      <c r="FU31" s="898"/>
      <c r="FV31" s="898"/>
      <c r="FW31" s="898"/>
      <c r="FX31" s="898"/>
      <c r="FY31" s="898"/>
      <c r="FZ31" s="898"/>
      <c r="GA31" s="898"/>
      <c r="GB31" s="898"/>
      <c r="GC31" s="898"/>
      <c r="GD31" s="898"/>
      <c r="GE31" s="898"/>
      <c r="GF31" s="898"/>
      <c r="GG31" s="898"/>
      <c r="GH31" s="898"/>
      <c r="GI31" s="898"/>
      <c r="GJ31" s="898"/>
      <c r="GK31" s="898"/>
      <c r="GL31" s="898"/>
      <c r="GM31" s="898"/>
      <c r="GN31" s="898"/>
      <c r="GO31" s="898"/>
      <c r="GP31" s="898"/>
      <c r="GQ31" s="898"/>
      <c r="GR31" s="898"/>
      <c r="GS31" s="898"/>
      <c r="GT31" s="898"/>
      <c r="GU31" s="898"/>
      <c r="GV31" s="898"/>
      <c r="GW31" s="898"/>
      <c r="GX31" s="898"/>
      <c r="GY31" s="898"/>
      <c r="GZ31" s="898"/>
      <c r="HA31" s="898"/>
      <c r="HB31" s="898"/>
      <c r="HC31" s="898"/>
      <c r="HD31" s="898"/>
      <c r="HE31" s="898"/>
      <c r="HF31" s="898"/>
      <c r="HG31" s="898"/>
      <c r="HH31" s="898"/>
      <c r="HI31" s="898"/>
      <c r="HJ31" s="898"/>
      <c r="HK31" s="898"/>
      <c r="HL31" s="898"/>
      <c r="HM31" s="898"/>
      <c r="HN31" s="898"/>
      <c r="HO31" s="898"/>
      <c r="HP31" s="898"/>
      <c r="HQ31" s="898"/>
      <c r="HR31" s="898"/>
      <c r="HS31" s="898"/>
      <c r="HT31" s="898"/>
      <c r="HU31" s="898"/>
      <c r="HV31" s="898"/>
      <c r="HW31" s="898"/>
      <c r="HX31" s="898"/>
      <c r="HY31" s="898"/>
      <c r="HZ31" s="898"/>
      <c r="IA31" s="898"/>
      <c r="IB31" s="898"/>
      <c r="IC31" s="898"/>
      <c r="ID31" s="898"/>
      <c r="IE31" s="898"/>
      <c r="IF31" s="898"/>
      <c r="IG31" s="898"/>
      <c r="IH31" s="898"/>
      <c r="II31" s="898"/>
      <c r="IJ31" s="898"/>
      <c r="IK31" s="898"/>
      <c r="IL31" s="898"/>
      <c r="IM31" s="898"/>
      <c r="IN31" s="898"/>
      <c r="IO31" s="898"/>
      <c r="IP31" s="898"/>
      <c r="IQ31" s="898"/>
      <c r="IR31" s="898"/>
      <c r="IS31" s="898"/>
      <c r="IT31" s="898"/>
      <c r="IU31" s="898"/>
      <c r="IV31" s="898"/>
    </row>
    <row r="32" spans="1:256" ht="16.5" customHeight="1">
      <c r="A32" s="898" t="s">
        <v>401</v>
      </c>
      <c r="B32" s="898"/>
      <c r="C32" s="898" t="s">
        <v>16</v>
      </c>
      <c r="D32" s="870">
        <v>9.891</v>
      </c>
      <c r="E32" s="864"/>
      <c r="F32" s="1439">
        <v>6.1749999999999998</v>
      </c>
      <c r="G32" s="1439"/>
      <c r="H32" s="1438">
        <v>6.7869999999999999</v>
      </c>
      <c r="I32" s="1439"/>
      <c r="J32" s="1438">
        <v>0</v>
      </c>
      <c r="K32" s="1439"/>
      <c r="L32" s="865">
        <f t="shared" si="0"/>
        <v>9.2789999999999999</v>
      </c>
      <c r="M32" s="905"/>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c r="AL32" s="898"/>
      <c r="AM32" s="898"/>
      <c r="AN32" s="898"/>
      <c r="AO32" s="898"/>
      <c r="AP32" s="898"/>
      <c r="AQ32" s="898"/>
      <c r="AR32" s="898"/>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c r="BP32" s="898"/>
      <c r="BQ32" s="898"/>
      <c r="BR32" s="898"/>
      <c r="BS32" s="898"/>
      <c r="BT32" s="898"/>
      <c r="BU32" s="898"/>
      <c r="BV32" s="898"/>
      <c r="BW32" s="898"/>
      <c r="BX32" s="898"/>
      <c r="BY32" s="898"/>
      <c r="BZ32" s="898"/>
      <c r="CA32" s="898"/>
      <c r="CB32" s="898"/>
      <c r="CC32" s="898"/>
      <c r="CD32" s="898"/>
      <c r="CE32" s="898"/>
      <c r="CF32" s="898"/>
      <c r="CG32" s="898"/>
      <c r="CH32" s="898"/>
      <c r="CI32" s="898"/>
      <c r="CJ32" s="898"/>
      <c r="CK32" s="898"/>
      <c r="CL32" s="898"/>
      <c r="CM32" s="898"/>
      <c r="CN32" s="898"/>
      <c r="CO32" s="898"/>
      <c r="CP32" s="898"/>
      <c r="CQ32" s="898"/>
      <c r="CR32" s="898"/>
      <c r="CS32" s="898"/>
      <c r="CT32" s="898"/>
      <c r="CU32" s="898"/>
      <c r="CV32" s="898"/>
      <c r="CW32" s="898"/>
      <c r="CX32" s="898"/>
      <c r="CY32" s="898"/>
      <c r="CZ32" s="898"/>
      <c r="DA32" s="898"/>
      <c r="DB32" s="898"/>
      <c r="DC32" s="898"/>
      <c r="DD32" s="898"/>
      <c r="DE32" s="898"/>
      <c r="DF32" s="898"/>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898"/>
      <c r="EU32" s="898"/>
      <c r="EV32" s="898"/>
      <c r="EW32" s="898"/>
      <c r="EX32" s="898"/>
      <c r="EY32" s="898"/>
      <c r="EZ32" s="898"/>
      <c r="FA32" s="898"/>
      <c r="FB32" s="898"/>
      <c r="FC32" s="898"/>
      <c r="FD32" s="898"/>
      <c r="FE32" s="898"/>
      <c r="FF32" s="898"/>
      <c r="FG32" s="898"/>
      <c r="FH32" s="898"/>
      <c r="FI32" s="898"/>
      <c r="FJ32" s="898"/>
      <c r="FK32" s="898"/>
      <c r="FL32" s="898"/>
      <c r="FM32" s="898"/>
      <c r="FN32" s="898"/>
      <c r="FO32" s="898"/>
      <c r="FP32" s="898"/>
      <c r="FQ32" s="898"/>
      <c r="FR32" s="898"/>
      <c r="FS32" s="898"/>
      <c r="FT32" s="898"/>
      <c r="FU32" s="898"/>
      <c r="FV32" s="898"/>
      <c r="FW32" s="898"/>
      <c r="FX32" s="898"/>
      <c r="FY32" s="898"/>
      <c r="FZ32" s="898"/>
      <c r="GA32" s="898"/>
      <c r="GB32" s="898"/>
      <c r="GC32" s="898"/>
      <c r="GD32" s="898"/>
      <c r="GE32" s="898"/>
      <c r="GF32" s="898"/>
      <c r="GG32" s="898"/>
      <c r="GH32" s="898"/>
      <c r="GI32" s="898"/>
      <c r="GJ32" s="898"/>
      <c r="GK32" s="898"/>
      <c r="GL32" s="898"/>
      <c r="GM32" s="898"/>
      <c r="GN32" s="898"/>
      <c r="GO32" s="898"/>
      <c r="GP32" s="898"/>
      <c r="GQ32" s="898"/>
      <c r="GR32" s="898"/>
      <c r="GS32" s="898"/>
      <c r="GT32" s="898"/>
      <c r="GU32" s="898"/>
      <c r="GV32" s="898"/>
      <c r="GW32" s="898"/>
      <c r="GX32" s="898"/>
      <c r="GY32" s="898"/>
      <c r="GZ32" s="898"/>
      <c r="HA32" s="898"/>
      <c r="HB32" s="898"/>
      <c r="HC32" s="898"/>
      <c r="HD32" s="898"/>
      <c r="HE32" s="898"/>
      <c r="HF32" s="898"/>
      <c r="HG32" s="898"/>
      <c r="HH32" s="898"/>
      <c r="HI32" s="898"/>
      <c r="HJ32" s="898"/>
      <c r="HK32" s="898"/>
      <c r="HL32" s="898"/>
      <c r="HM32" s="898"/>
      <c r="HN32" s="898"/>
      <c r="HO32" s="898"/>
      <c r="HP32" s="898"/>
      <c r="HQ32" s="898"/>
      <c r="HR32" s="898"/>
      <c r="HS32" s="898"/>
      <c r="HT32" s="898"/>
      <c r="HU32" s="898"/>
      <c r="HV32" s="898"/>
      <c r="HW32" s="898"/>
      <c r="HX32" s="898"/>
      <c r="HY32" s="898"/>
      <c r="HZ32" s="898"/>
      <c r="IA32" s="898"/>
      <c r="IB32" s="898"/>
      <c r="IC32" s="898"/>
      <c r="ID32" s="898"/>
      <c r="IE32" s="898"/>
      <c r="IF32" s="898"/>
      <c r="IG32" s="898"/>
      <c r="IH32" s="898"/>
      <c r="II32" s="898"/>
      <c r="IJ32" s="898"/>
      <c r="IK32" s="898"/>
      <c r="IL32" s="898"/>
      <c r="IM32" s="898"/>
      <c r="IN32" s="898"/>
      <c r="IO32" s="898"/>
      <c r="IP32" s="898"/>
      <c r="IQ32" s="898"/>
      <c r="IR32" s="898"/>
      <c r="IS32" s="898"/>
      <c r="IT32" s="898"/>
      <c r="IU32" s="898"/>
      <c r="IV32" s="898"/>
    </row>
    <row r="33" spans="1:256" ht="15.75" customHeight="1">
      <c r="A33" s="898" t="s">
        <v>402</v>
      </c>
      <c r="B33" s="898"/>
      <c r="C33" s="898"/>
      <c r="D33" s="870">
        <v>0.43</v>
      </c>
      <c r="E33" s="864"/>
      <c r="F33" s="1441">
        <v>0.79600000000000004</v>
      </c>
      <c r="G33" s="1439"/>
      <c r="H33" s="1439">
        <v>0.86899999999999999</v>
      </c>
      <c r="I33" s="1439"/>
      <c r="J33" s="1438">
        <v>0</v>
      </c>
      <c r="K33" s="1439"/>
      <c r="L33" s="865">
        <f t="shared" si="0"/>
        <v>0.35699999999999998</v>
      </c>
      <c r="M33" s="905"/>
      <c r="N33" s="898"/>
      <c r="O33" s="898"/>
      <c r="P33" s="898"/>
      <c r="Q33" s="898"/>
      <c r="R33" s="898"/>
      <c r="S33" s="898"/>
      <c r="T33" s="898"/>
      <c r="U33" s="898"/>
      <c r="V33" s="898"/>
      <c r="W33" s="898"/>
      <c r="X33" s="898"/>
      <c r="Y33" s="898"/>
      <c r="Z33" s="898"/>
      <c r="AA33" s="898"/>
      <c r="AB33" s="898"/>
      <c r="AC33" s="898"/>
      <c r="AD33" s="898"/>
      <c r="AE33" s="898"/>
      <c r="AF33" s="898"/>
      <c r="AG33" s="898"/>
      <c r="AH33" s="898"/>
      <c r="AI33" s="898"/>
      <c r="AJ33" s="898"/>
      <c r="AK33" s="898"/>
      <c r="AL33" s="898"/>
      <c r="AM33" s="898"/>
      <c r="AN33" s="898"/>
      <c r="AO33" s="898"/>
      <c r="AP33" s="898"/>
      <c r="AQ33" s="898"/>
      <c r="AR33" s="898"/>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c r="BP33" s="898"/>
      <c r="BQ33" s="898"/>
      <c r="BR33" s="898"/>
      <c r="BS33" s="898"/>
      <c r="BT33" s="898"/>
      <c r="BU33" s="898"/>
      <c r="BV33" s="898"/>
      <c r="BW33" s="898"/>
      <c r="BX33" s="898"/>
      <c r="BY33" s="898"/>
      <c r="BZ33" s="898"/>
      <c r="CA33" s="898"/>
      <c r="CB33" s="898"/>
      <c r="CC33" s="898"/>
      <c r="CD33" s="898"/>
      <c r="CE33" s="898"/>
      <c r="CF33" s="898"/>
      <c r="CG33" s="898"/>
      <c r="CH33" s="898"/>
      <c r="CI33" s="898"/>
      <c r="CJ33" s="898"/>
      <c r="CK33" s="898"/>
      <c r="CL33" s="898"/>
      <c r="CM33" s="898"/>
      <c r="CN33" s="898"/>
      <c r="CO33" s="898"/>
      <c r="CP33" s="898"/>
      <c r="CQ33" s="898"/>
      <c r="CR33" s="898"/>
      <c r="CS33" s="898"/>
      <c r="CT33" s="898"/>
      <c r="CU33" s="898"/>
      <c r="CV33" s="898"/>
      <c r="CW33" s="898"/>
      <c r="CX33" s="898"/>
      <c r="CY33" s="898"/>
      <c r="CZ33" s="898"/>
      <c r="DA33" s="898"/>
      <c r="DB33" s="898"/>
      <c r="DC33" s="898"/>
      <c r="DD33" s="898"/>
      <c r="DE33" s="898"/>
      <c r="DF33" s="898"/>
      <c r="DG33" s="898"/>
      <c r="DH33" s="898"/>
      <c r="DI33" s="898"/>
      <c r="DJ33" s="898"/>
      <c r="DK33" s="898"/>
      <c r="DL33" s="898"/>
      <c r="DM33" s="898"/>
      <c r="DN33" s="898"/>
      <c r="DO33" s="898"/>
      <c r="DP33" s="898"/>
      <c r="DQ33" s="898"/>
      <c r="DR33" s="898"/>
      <c r="DS33" s="898"/>
      <c r="DT33" s="898"/>
      <c r="DU33" s="898"/>
      <c r="DV33" s="898"/>
      <c r="DW33" s="898"/>
      <c r="DX33" s="898"/>
      <c r="DY33" s="898"/>
      <c r="DZ33" s="898"/>
      <c r="EA33" s="898"/>
      <c r="EB33" s="898"/>
      <c r="EC33" s="898"/>
      <c r="ED33" s="898"/>
      <c r="EE33" s="898"/>
      <c r="EF33" s="898"/>
      <c r="EG33" s="898"/>
      <c r="EH33" s="898"/>
      <c r="EI33" s="898"/>
      <c r="EJ33" s="898"/>
      <c r="EK33" s="898"/>
      <c r="EL33" s="898"/>
      <c r="EM33" s="898"/>
      <c r="EN33" s="898"/>
      <c r="EO33" s="898"/>
      <c r="EP33" s="898"/>
      <c r="EQ33" s="898"/>
      <c r="ER33" s="898"/>
      <c r="ES33" s="898"/>
      <c r="ET33" s="898"/>
      <c r="EU33" s="898"/>
      <c r="EV33" s="898"/>
      <c r="EW33" s="898"/>
      <c r="EX33" s="898"/>
      <c r="EY33" s="898"/>
      <c r="EZ33" s="898"/>
      <c r="FA33" s="898"/>
      <c r="FB33" s="898"/>
      <c r="FC33" s="898"/>
      <c r="FD33" s="898"/>
      <c r="FE33" s="898"/>
      <c r="FF33" s="898"/>
      <c r="FG33" s="898"/>
      <c r="FH33" s="898"/>
      <c r="FI33" s="898"/>
      <c r="FJ33" s="898"/>
      <c r="FK33" s="898"/>
      <c r="FL33" s="898"/>
      <c r="FM33" s="898"/>
      <c r="FN33" s="898"/>
      <c r="FO33" s="898"/>
      <c r="FP33" s="898"/>
      <c r="FQ33" s="898"/>
      <c r="FR33" s="898"/>
      <c r="FS33" s="898"/>
      <c r="FT33" s="898"/>
      <c r="FU33" s="898"/>
      <c r="FV33" s="898"/>
      <c r="FW33" s="898"/>
      <c r="FX33" s="898"/>
      <c r="FY33" s="898"/>
      <c r="FZ33" s="898"/>
      <c r="GA33" s="898"/>
      <c r="GB33" s="898"/>
      <c r="GC33" s="898"/>
      <c r="GD33" s="898"/>
      <c r="GE33" s="898"/>
      <c r="GF33" s="898"/>
      <c r="GG33" s="898"/>
      <c r="GH33" s="898"/>
      <c r="GI33" s="898"/>
      <c r="GJ33" s="898"/>
      <c r="GK33" s="898"/>
      <c r="GL33" s="898"/>
      <c r="GM33" s="898"/>
      <c r="GN33" s="898"/>
      <c r="GO33" s="898"/>
      <c r="GP33" s="898"/>
      <c r="GQ33" s="898"/>
      <c r="GR33" s="898"/>
      <c r="GS33" s="898"/>
      <c r="GT33" s="898"/>
      <c r="GU33" s="898"/>
      <c r="GV33" s="898"/>
      <c r="GW33" s="898"/>
      <c r="GX33" s="898"/>
      <c r="GY33" s="898"/>
      <c r="GZ33" s="898"/>
      <c r="HA33" s="898"/>
      <c r="HB33" s="898"/>
      <c r="HC33" s="898"/>
      <c r="HD33" s="898"/>
      <c r="HE33" s="898"/>
      <c r="HF33" s="898"/>
      <c r="HG33" s="898"/>
      <c r="HH33" s="898"/>
      <c r="HI33" s="898"/>
      <c r="HJ33" s="898"/>
      <c r="HK33" s="898"/>
      <c r="HL33" s="898"/>
      <c r="HM33" s="898"/>
      <c r="HN33" s="898"/>
      <c r="HO33" s="898"/>
      <c r="HP33" s="898"/>
      <c r="HQ33" s="898"/>
      <c r="HR33" s="898"/>
      <c r="HS33" s="898"/>
      <c r="HT33" s="898"/>
      <c r="HU33" s="898"/>
      <c r="HV33" s="898"/>
      <c r="HW33" s="898"/>
      <c r="HX33" s="898"/>
      <c r="HY33" s="898"/>
      <c r="HZ33" s="898"/>
      <c r="IA33" s="898"/>
      <c r="IB33" s="898"/>
      <c r="IC33" s="898"/>
      <c r="ID33" s="898"/>
      <c r="IE33" s="898"/>
      <c r="IF33" s="898"/>
      <c r="IG33" s="898"/>
      <c r="IH33" s="898"/>
      <c r="II33" s="898"/>
      <c r="IJ33" s="898"/>
      <c r="IK33" s="898"/>
      <c r="IL33" s="898"/>
      <c r="IM33" s="898"/>
      <c r="IN33" s="898"/>
      <c r="IO33" s="898"/>
      <c r="IP33" s="898"/>
      <c r="IQ33" s="898"/>
      <c r="IR33" s="898"/>
      <c r="IS33" s="898"/>
      <c r="IT33" s="898"/>
      <c r="IU33" s="898"/>
      <c r="IV33" s="898"/>
    </row>
    <row r="34" spans="1:256" ht="15.75" customHeight="1">
      <c r="A34" s="898" t="s">
        <v>403</v>
      </c>
      <c r="B34" s="898"/>
      <c r="C34" s="898"/>
      <c r="D34" s="870">
        <v>410.863</v>
      </c>
      <c r="E34" s="864"/>
      <c r="F34" s="1441">
        <v>88.174000000000007</v>
      </c>
      <c r="G34" s="1439"/>
      <c r="H34" s="1440">
        <v>73.558000000000007</v>
      </c>
      <c r="I34" s="1439"/>
      <c r="J34" s="1438">
        <v>0</v>
      </c>
      <c r="K34" s="1439"/>
      <c r="L34" s="865">
        <f t="shared" si="0"/>
        <v>425.47899999999998</v>
      </c>
      <c r="M34" s="910"/>
      <c r="N34" s="898"/>
      <c r="O34" s="898"/>
      <c r="P34" s="898"/>
      <c r="Q34" s="898"/>
      <c r="R34" s="898"/>
      <c r="S34" s="898"/>
      <c r="T34" s="898"/>
      <c r="U34" s="898"/>
      <c r="V34" s="898"/>
      <c r="W34" s="898"/>
      <c r="X34" s="898"/>
      <c r="Y34" s="898"/>
      <c r="Z34" s="898"/>
      <c r="AA34" s="898"/>
      <c r="AB34" s="898"/>
      <c r="AC34" s="898"/>
      <c r="AD34" s="898"/>
      <c r="AE34" s="898"/>
      <c r="AF34" s="898"/>
      <c r="AG34" s="898"/>
      <c r="AH34" s="898"/>
      <c r="AI34" s="898"/>
      <c r="AJ34" s="898"/>
      <c r="AK34" s="898"/>
      <c r="AL34" s="898"/>
      <c r="AM34" s="898"/>
      <c r="AN34" s="898"/>
      <c r="AO34" s="898"/>
      <c r="AP34" s="898"/>
      <c r="AQ34" s="898"/>
      <c r="AR34" s="898"/>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c r="BP34" s="898"/>
      <c r="BQ34" s="898"/>
      <c r="BR34" s="898"/>
      <c r="BS34" s="898"/>
      <c r="BT34" s="898"/>
      <c r="BU34" s="898"/>
      <c r="BV34" s="898"/>
      <c r="BW34" s="898"/>
      <c r="BX34" s="898"/>
      <c r="BY34" s="898"/>
      <c r="BZ34" s="898"/>
      <c r="CA34" s="898"/>
      <c r="CB34" s="898"/>
      <c r="CC34" s="898"/>
      <c r="CD34" s="898"/>
      <c r="CE34" s="898"/>
      <c r="CF34" s="898"/>
      <c r="CG34" s="898"/>
      <c r="CH34" s="898"/>
      <c r="CI34" s="898"/>
      <c r="CJ34" s="898"/>
      <c r="CK34" s="898"/>
      <c r="CL34" s="898"/>
      <c r="CM34" s="898"/>
      <c r="CN34" s="898"/>
      <c r="CO34" s="898"/>
      <c r="CP34" s="898"/>
      <c r="CQ34" s="898"/>
      <c r="CR34" s="898"/>
      <c r="CS34" s="898"/>
      <c r="CT34" s="898"/>
      <c r="CU34" s="898"/>
      <c r="CV34" s="898"/>
      <c r="CW34" s="898"/>
      <c r="CX34" s="898"/>
      <c r="CY34" s="898"/>
      <c r="CZ34" s="898"/>
      <c r="DA34" s="898"/>
      <c r="DB34" s="898"/>
      <c r="DC34" s="898"/>
      <c r="DD34" s="898"/>
      <c r="DE34" s="898"/>
      <c r="DF34" s="898"/>
      <c r="DG34" s="898"/>
      <c r="DH34" s="898"/>
      <c r="DI34" s="898"/>
      <c r="DJ34" s="898"/>
      <c r="DK34" s="898"/>
      <c r="DL34" s="898"/>
      <c r="DM34" s="898"/>
      <c r="DN34" s="898"/>
      <c r="DO34" s="898"/>
      <c r="DP34" s="898"/>
      <c r="DQ34" s="898"/>
      <c r="DR34" s="898"/>
      <c r="DS34" s="898"/>
      <c r="DT34" s="898"/>
      <c r="DU34" s="898"/>
      <c r="DV34" s="898"/>
      <c r="DW34" s="898"/>
      <c r="DX34" s="898"/>
      <c r="DY34" s="898"/>
      <c r="DZ34" s="898"/>
      <c r="EA34" s="898"/>
      <c r="EB34" s="898"/>
      <c r="EC34" s="898"/>
      <c r="ED34" s="898"/>
      <c r="EE34" s="898"/>
      <c r="EF34" s="898"/>
      <c r="EG34" s="898"/>
      <c r="EH34" s="898"/>
      <c r="EI34" s="898"/>
      <c r="EJ34" s="898"/>
      <c r="EK34" s="898"/>
      <c r="EL34" s="898"/>
      <c r="EM34" s="898"/>
      <c r="EN34" s="898"/>
      <c r="EO34" s="898"/>
      <c r="EP34" s="898"/>
      <c r="EQ34" s="898"/>
      <c r="ER34" s="898"/>
      <c r="ES34" s="898"/>
      <c r="ET34" s="898"/>
      <c r="EU34" s="898"/>
      <c r="EV34" s="898"/>
      <c r="EW34" s="898"/>
      <c r="EX34" s="898"/>
      <c r="EY34" s="898"/>
      <c r="EZ34" s="898"/>
      <c r="FA34" s="898"/>
      <c r="FB34" s="898"/>
      <c r="FC34" s="898"/>
      <c r="FD34" s="898"/>
      <c r="FE34" s="898"/>
      <c r="FF34" s="898"/>
      <c r="FG34" s="898"/>
      <c r="FH34" s="898"/>
      <c r="FI34" s="898"/>
      <c r="FJ34" s="898"/>
      <c r="FK34" s="898"/>
      <c r="FL34" s="898"/>
      <c r="FM34" s="898"/>
      <c r="FN34" s="898"/>
      <c r="FO34" s="898"/>
      <c r="FP34" s="898"/>
      <c r="FQ34" s="898"/>
      <c r="FR34" s="898"/>
      <c r="FS34" s="898"/>
      <c r="FT34" s="898"/>
      <c r="FU34" s="898"/>
      <c r="FV34" s="898"/>
      <c r="FW34" s="898"/>
      <c r="FX34" s="898"/>
      <c r="FY34" s="898"/>
      <c r="FZ34" s="898"/>
      <c r="GA34" s="898"/>
      <c r="GB34" s="898"/>
      <c r="GC34" s="898"/>
      <c r="GD34" s="898"/>
      <c r="GE34" s="898"/>
      <c r="GF34" s="898"/>
      <c r="GG34" s="898"/>
      <c r="GH34" s="898"/>
      <c r="GI34" s="898"/>
      <c r="GJ34" s="898"/>
      <c r="GK34" s="898"/>
      <c r="GL34" s="898"/>
      <c r="GM34" s="898"/>
      <c r="GN34" s="898"/>
      <c r="GO34" s="898"/>
      <c r="GP34" s="898"/>
      <c r="GQ34" s="898"/>
      <c r="GR34" s="898"/>
      <c r="GS34" s="898"/>
      <c r="GT34" s="898"/>
      <c r="GU34" s="898"/>
      <c r="GV34" s="898"/>
      <c r="GW34" s="898"/>
      <c r="GX34" s="898"/>
      <c r="GY34" s="898"/>
      <c r="GZ34" s="898"/>
      <c r="HA34" s="898"/>
      <c r="HB34" s="898"/>
      <c r="HC34" s="898"/>
      <c r="HD34" s="898"/>
      <c r="HE34" s="898"/>
      <c r="HF34" s="898"/>
      <c r="HG34" s="898"/>
      <c r="HH34" s="898"/>
      <c r="HI34" s="898"/>
      <c r="HJ34" s="898"/>
      <c r="HK34" s="898"/>
      <c r="HL34" s="898"/>
      <c r="HM34" s="898"/>
      <c r="HN34" s="898"/>
      <c r="HO34" s="898"/>
      <c r="HP34" s="898"/>
      <c r="HQ34" s="898"/>
      <c r="HR34" s="898"/>
      <c r="HS34" s="898"/>
      <c r="HT34" s="898"/>
      <c r="HU34" s="898"/>
      <c r="HV34" s="898"/>
      <c r="HW34" s="898"/>
      <c r="HX34" s="898"/>
      <c r="HY34" s="898"/>
      <c r="HZ34" s="898"/>
      <c r="IA34" s="898"/>
      <c r="IB34" s="898"/>
      <c r="IC34" s="898"/>
      <c r="ID34" s="898"/>
      <c r="IE34" s="898"/>
      <c r="IF34" s="898"/>
      <c r="IG34" s="898"/>
      <c r="IH34" s="898"/>
      <c r="II34" s="898"/>
      <c r="IJ34" s="898"/>
      <c r="IK34" s="898"/>
      <c r="IL34" s="898"/>
      <c r="IM34" s="898"/>
      <c r="IN34" s="898"/>
      <c r="IO34" s="898"/>
      <c r="IP34" s="898"/>
      <c r="IQ34" s="898"/>
      <c r="IR34" s="898"/>
      <c r="IS34" s="898"/>
      <c r="IT34" s="898"/>
      <c r="IU34" s="898"/>
      <c r="IV34" s="898"/>
    </row>
    <row r="35" spans="1:256" ht="16.5" customHeight="1">
      <c r="A35" s="898" t="s">
        <v>404</v>
      </c>
      <c r="B35" s="898"/>
      <c r="C35" s="898"/>
      <c r="D35" s="870">
        <v>0.11</v>
      </c>
      <c r="E35" s="864"/>
      <c r="F35" s="1438">
        <v>0</v>
      </c>
      <c r="G35" s="864"/>
      <c r="H35" s="1438">
        <v>0</v>
      </c>
      <c r="I35" s="1439"/>
      <c r="J35" s="1438">
        <v>0</v>
      </c>
      <c r="K35" s="1439"/>
      <c r="L35" s="865">
        <f t="shared" si="0"/>
        <v>0.11</v>
      </c>
      <c r="M35" s="905"/>
      <c r="N35" s="898"/>
      <c r="O35" s="898"/>
      <c r="P35" s="898"/>
      <c r="Q35" s="898"/>
      <c r="R35" s="898"/>
      <c r="S35" s="898"/>
      <c r="T35" s="898"/>
      <c r="U35" s="898"/>
      <c r="V35" s="898"/>
      <c r="W35" s="898"/>
      <c r="X35" s="898"/>
      <c r="Y35" s="898"/>
      <c r="Z35" s="898"/>
      <c r="AA35" s="898"/>
      <c r="AB35" s="898"/>
      <c r="AC35" s="898"/>
      <c r="AD35" s="898"/>
      <c r="AE35" s="898"/>
      <c r="AF35" s="898"/>
      <c r="AG35" s="898"/>
      <c r="AH35" s="898"/>
      <c r="AI35" s="898"/>
      <c r="AJ35" s="898"/>
      <c r="AK35" s="898"/>
      <c r="AL35" s="898"/>
      <c r="AM35" s="898"/>
      <c r="AN35" s="898"/>
      <c r="AO35" s="898"/>
      <c r="AP35" s="898"/>
      <c r="AQ35" s="898"/>
      <c r="AR35" s="898"/>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c r="BP35" s="898"/>
      <c r="BQ35" s="898"/>
      <c r="BR35" s="898"/>
      <c r="BS35" s="898"/>
      <c r="BT35" s="898"/>
      <c r="BU35" s="898"/>
      <c r="BV35" s="898"/>
      <c r="BW35" s="898"/>
      <c r="BX35" s="898"/>
      <c r="BY35" s="898"/>
      <c r="BZ35" s="898"/>
      <c r="CA35" s="898"/>
      <c r="CB35" s="898"/>
      <c r="CC35" s="898"/>
      <c r="CD35" s="898"/>
      <c r="CE35" s="898"/>
      <c r="CF35" s="898"/>
      <c r="CG35" s="898"/>
      <c r="CH35" s="898"/>
      <c r="CI35" s="898"/>
      <c r="CJ35" s="898"/>
      <c r="CK35" s="898"/>
      <c r="CL35" s="898"/>
      <c r="CM35" s="898"/>
      <c r="CN35" s="898"/>
      <c r="CO35" s="898"/>
      <c r="CP35" s="898"/>
      <c r="CQ35" s="898"/>
      <c r="CR35" s="898"/>
      <c r="CS35" s="898"/>
      <c r="CT35" s="898"/>
      <c r="CU35" s="898"/>
      <c r="CV35" s="898"/>
      <c r="CW35" s="898"/>
      <c r="CX35" s="898"/>
      <c r="CY35" s="898"/>
      <c r="CZ35" s="898"/>
      <c r="DA35" s="898"/>
      <c r="DB35" s="898"/>
      <c r="DC35" s="898"/>
      <c r="DD35" s="898"/>
      <c r="DE35" s="898"/>
      <c r="DF35" s="898"/>
      <c r="DG35" s="898"/>
      <c r="DH35" s="898"/>
      <c r="DI35" s="898"/>
      <c r="DJ35" s="898"/>
      <c r="DK35" s="898"/>
      <c r="DL35" s="898"/>
      <c r="DM35" s="898"/>
      <c r="DN35" s="898"/>
      <c r="DO35" s="898"/>
      <c r="DP35" s="898"/>
      <c r="DQ35" s="898"/>
      <c r="DR35" s="898"/>
      <c r="DS35" s="898"/>
      <c r="DT35" s="898"/>
      <c r="DU35" s="898"/>
      <c r="DV35" s="898"/>
      <c r="DW35" s="898"/>
      <c r="DX35" s="898"/>
      <c r="DY35" s="898"/>
      <c r="DZ35" s="898"/>
      <c r="EA35" s="898"/>
      <c r="EB35" s="898"/>
      <c r="EC35" s="898"/>
      <c r="ED35" s="898"/>
      <c r="EE35" s="898"/>
      <c r="EF35" s="898"/>
      <c r="EG35" s="898"/>
      <c r="EH35" s="898"/>
      <c r="EI35" s="898"/>
      <c r="EJ35" s="898"/>
      <c r="EK35" s="898"/>
      <c r="EL35" s="898"/>
      <c r="EM35" s="898"/>
      <c r="EN35" s="898"/>
      <c r="EO35" s="898"/>
      <c r="EP35" s="898"/>
      <c r="EQ35" s="898"/>
      <c r="ER35" s="898"/>
      <c r="ES35" s="898"/>
      <c r="ET35" s="898"/>
      <c r="EU35" s="898"/>
      <c r="EV35" s="898"/>
      <c r="EW35" s="898"/>
      <c r="EX35" s="898"/>
      <c r="EY35" s="898"/>
      <c r="EZ35" s="898"/>
      <c r="FA35" s="898"/>
      <c r="FB35" s="898"/>
      <c r="FC35" s="898"/>
      <c r="FD35" s="898"/>
      <c r="FE35" s="898"/>
      <c r="FF35" s="898"/>
      <c r="FG35" s="898"/>
      <c r="FH35" s="898"/>
      <c r="FI35" s="898"/>
      <c r="FJ35" s="898"/>
      <c r="FK35" s="898"/>
      <c r="FL35" s="898"/>
      <c r="FM35" s="898"/>
      <c r="FN35" s="898"/>
      <c r="FO35" s="898"/>
      <c r="FP35" s="898"/>
      <c r="FQ35" s="898"/>
      <c r="FR35" s="898"/>
      <c r="FS35" s="898"/>
      <c r="FT35" s="898"/>
      <c r="FU35" s="898"/>
      <c r="FV35" s="898"/>
      <c r="FW35" s="898"/>
      <c r="FX35" s="898"/>
      <c r="FY35" s="898"/>
      <c r="FZ35" s="898"/>
      <c r="GA35" s="898"/>
      <c r="GB35" s="898"/>
      <c r="GC35" s="898"/>
      <c r="GD35" s="898"/>
      <c r="GE35" s="898"/>
      <c r="GF35" s="898"/>
      <c r="GG35" s="898"/>
      <c r="GH35" s="898"/>
      <c r="GI35" s="898"/>
      <c r="GJ35" s="898"/>
      <c r="GK35" s="898"/>
      <c r="GL35" s="898"/>
      <c r="GM35" s="898"/>
      <c r="GN35" s="898"/>
      <c r="GO35" s="898"/>
      <c r="GP35" s="898"/>
      <c r="GQ35" s="898"/>
      <c r="GR35" s="898"/>
      <c r="GS35" s="898"/>
      <c r="GT35" s="898"/>
      <c r="GU35" s="898"/>
      <c r="GV35" s="898"/>
      <c r="GW35" s="898"/>
      <c r="GX35" s="898"/>
      <c r="GY35" s="898"/>
      <c r="GZ35" s="898"/>
      <c r="HA35" s="898"/>
      <c r="HB35" s="898"/>
      <c r="HC35" s="898"/>
      <c r="HD35" s="898"/>
      <c r="HE35" s="898"/>
      <c r="HF35" s="898"/>
      <c r="HG35" s="898"/>
      <c r="HH35" s="898"/>
      <c r="HI35" s="898"/>
      <c r="HJ35" s="898"/>
      <c r="HK35" s="898"/>
      <c r="HL35" s="898"/>
      <c r="HM35" s="898"/>
      <c r="HN35" s="898"/>
      <c r="HO35" s="898"/>
      <c r="HP35" s="898"/>
      <c r="HQ35" s="898"/>
      <c r="HR35" s="898"/>
      <c r="HS35" s="898"/>
      <c r="HT35" s="898"/>
      <c r="HU35" s="898"/>
      <c r="HV35" s="898"/>
      <c r="HW35" s="898"/>
      <c r="HX35" s="898"/>
      <c r="HY35" s="898"/>
      <c r="HZ35" s="898"/>
      <c r="IA35" s="898"/>
      <c r="IB35" s="898"/>
      <c r="IC35" s="898"/>
      <c r="ID35" s="898"/>
      <c r="IE35" s="898"/>
      <c r="IF35" s="898"/>
      <c r="IG35" s="898"/>
      <c r="IH35" s="898"/>
      <c r="II35" s="898"/>
      <c r="IJ35" s="898"/>
      <c r="IK35" s="898"/>
      <c r="IL35" s="898"/>
      <c r="IM35" s="898"/>
      <c r="IN35" s="898"/>
      <c r="IO35" s="898"/>
      <c r="IP35" s="898"/>
      <c r="IQ35" s="898"/>
      <c r="IR35" s="898"/>
      <c r="IS35" s="898"/>
      <c r="IT35" s="898"/>
      <c r="IU35" s="898"/>
      <c r="IV35" s="898"/>
    </row>
    <row r="36" spans="1:256" ht="16.5" customHeight="1">
      <c r="A36" s="898" t="s">
        <v>405</v>
      </c>
      <c r="B36" s="898"/>
      <c r="C36" s="898"/>
      <c r="D36" s="870">
        <v>1244.328</v>
      </c>
      <c r="E36" s="864"/>
      <c r="F36" s="1439">
        <v>65.751000000000005</v>
      </c>
      <c r="G36" s="1439"/>
      <c r="H36" s="1439">
        <v>39.277999999999999</v>
      </c>
      <c r="I36" s="1439"/>
      <c r="J36" s="1438">
        <v>0</v>
      </c>
      <c r="K36" s="1439"/>
      <c r="L36" s="865">
        <f t="shared" si="0"/>
        <v>1270.8009999999999</v>
      </c>
      <c r="M36" s="905"/>
      <c r="N36" s="898"/>
      <c r="O36" s="898"/>
      <c r="P36" s="898"/>
      <c r="Q36" s="898"/>
      <c r="R36" s="898"/>
      <c r="S36" s="898"/>
      <c r="T36" s="898"/>
      <c r="U36" s="898"/>
      <c r="V36" s="898"/>
      <c r="W36" s="898"/>
      <c r="X36" s="898"/>
      <c r="Y36" s="898"/>
      <c r="Z36" s="898"/>
      <c r="AA36" s="898"/>
      <c r="AB36" s="898"/>
      <c r="AC36" s="898"/>
      <c r="AD36" s="898"/>
      <c r="AE36" s="898"/>
      <c r="AF36" s="898"/>
      <c r="AG36" s="898"/>
      <c r="AH36" s="898"/>
      <c r="AI36" s="898"/>
      <c r="AJ36" s="898"/>
      <c r="AK36" s="898"/>
      <c r="AL36" s="898"/>
      <c r="AM36" s="898"/>
      <c r="AN36" s="898"/>
      <c r="AO36" s="898"/>
      <c r="AP36" s="898"/>
      <c r="AQ36" s="898"/>
      <c r="AR36" s="898"/>
      <c r="AS36" s="898"/>
      <c r="AT36" s="898"/>
      <c r="AU36" s="898"/>
      <c r="AV36" s="898"/>
      <c r="AW36" s="898"/>
      <c r="AX36" s="898"/>
      <c r="AY36" s="898"/>
      <c r="AZ36" s="898"/>
      <c r="BA36" s="898"/>
      <c r="BB36" s="898"/>
      <c r="BC36" s="898"/>
      <c r="BD36" s="898"/>
      <c r="BE36" s="898"/>
      <c r="BF36" s="898"/>
      <c r="BG36" s="898"/>
      <c r="BH36" s="898"/>
      <c r="BI36" s="898"/>
      <c r="BJ36" s="898"/>
      <c r="BK36" s="898"/>
      <c r="BL36" s="898"/>
      <c r="BM36" s="898"/>
      <c r="BN36" s="898"/>
      <c r="BO36" s="898"/>
      <c r="BP36" s="898"/>
      <c r="BQ36" s="898"/>
      <c r="BR36" s="898"/>
      <c r="BS36" s="898"/>
      <c r="BT36" s="898"/>
      <c r="BU36" s="898"/>
      <c r="BV36" s="898"/>
      <c r="BW36" s="898"/>
      <c r="BX36" s="898"/>
      <c r="BY36" s="898"/>
      <c r="BZ36" s="898"/>
      <c r="CA36" s="898"/>
      <c r="CB36" s="898"/>
      <c r="CC36" s="898"/>
      <c r="CD36" s="898"/>
      <c r="CE36" s="898"/>
      <c r="CF36" s="898"/>
      <c r="CG36" s="898"/>
      <c r="CH36" s="898"/>
      <c r="CI36" s="898"/>
      <c r="CJ36" s="898"/>
      <c r="CK36" s="898"/>
      <c r="CL36" s="898"/>
      <c r="CM36" s="898"/>
      <c r="CN36" s="898"/>
      <c r="CO36" s="898"/>
      <c r="CP36" s="898"/>
      <c r="CQ36" s="898"/>
      <c r="CR36" s="898"/>
      <c r="CS36" s="898"/>
      <c r="CT36" s="898"/>
      <c r="CU36" s="898"/>
      <c r="CV36" s="898"/>
      <c r="CW36" s="898"/>
      <c r="CX36" s="898"/>
      <c r="CY36" s="898"/>
      <c r="CZ36" s="898"/>
      <c r="DA36" s="898"/>
      <c r="DB36" s="898"/>
      <c r="DC36" s="898"/>
      <c r="DD36" s="898"/>
      <c r="DE36" s="898"/>
      <c r="DF36" s="898"/>
      <c r="DG36" s="898"/>
      <c r="DH36" s="898"/>
      <c r="DI36" s="898"/>
      <c r="DJ36" s="898"/>
      <c r="DK36" s="898"/>
      <c r="DL36" s="898"/>
      <c r="DM36" s="898"/>
      <c r="DN36" s="898"/>
      <c r="DO36" s="898"/>
      <c r="DP36" s="898"/>
      <c r="DQ36" s="898"/>
      <c r="DR36" s="898"/>
      <c r="DS36" s="898"/>
      <c r="DT36" s="898"/>
      <c r="DU36" s="898"/>
      <c r="DV36" s="898"/>
      <c r="DW36" s="898"/>
      <c r="DX36" s="898"/>
      <c r="DY36" s="898"/>
      <c r="DZ36" s="898"/>
      <c r="EA36" s="898"/>
      <c r="EB36" s="898"/>
      <c r="EC36" s="898"/>
      <c r="ED36" s="898"/>
      <c r="EE36" s="898"/>
      <c r="EF36" s="898"/>
      <c r="EG36" s="898"/>
      <c r="EH36" s="898"/>
      <c r="EI36" s="898"/>
      <c r="EJ36" s="898"/>
      <c r="EK36" s="898"/>
      <c r="EL36" s="898"/>
      <c r="EM36" s="898"/>
      <c r="EN36" s="898"/>
      <c r="EO36" s="898"/>
      <c r="EP36" s="898"/>
      <c r="EQ36" s="898"/>
      <c r="ER36" s="898"/>
      <c r="ES36" s="898"/>
      <c r="ET36" s="898"/>
      <c r="EU36" s="898"/>
      <c r="EV36" s="898"/>
      <c r="EW36" s="898"/>
      <c r="EX36" s="898"/>
      <c r="EY36" s="898"/>
      <c r="EZ36" s="898"/>
      <c r="FA36" s="898"/>
      <c r="FB36" s="898"/>
      <c r="FC36" s="898"/>
      <c r="FD36" s="898"/>
      <c r="FE36" s="898"/>
      <c r="FF36" s="898"/>
      <c r="FG36" s="898"/>
      <c r="FH36" s="898"/>
      <c r="FI36" s="898"/>
      <c r="FJ36" s="898"/>
      <c r="FK36" s="898"/>
      <c r="FL36" s="898"/>
      <c r="FM36" s="898"/>
      <c r="FN36" s="898"/>
      <c r="FO36" s="898"/>
      <c r="FP36" s="898"/>
      <c r="FQ36" s="898"/>
      <c r="FR36" s="898"/>
      <c r="FS36" s="898"/>
      <c r="FT36" s="898"/>
      <c r="FU36" s="898"/>
      <c r="FV36" s="898"/>
      <c r="FW36" s="898"/>
      <c r="FX36" s="898"/>
      <c r="FY36" s="898"/>
      <c r="FZ36" s="898"/>
      <c r="GA36" s="898"/>
      <c r="GB36" s="898"/>
      <c r="GC36" s="898"/>
      <c r="GD36" s="898"/>
      <c r="GE36" s="898"/>
      <c r="GF36" s="898"/>
      <c r="GG36" s="898"/>
      <c r="GH36" s="898"/>
      <c r="GI36" s="898"/>
      <c r="GJ36" s="898"/>
      <c r="GK36" s="898"/>
      <c r="GL36" s="898"/>
      <c r="GM36" s="898"/>
      <c r="GN36" s="898"/>
      <c r="GO36" s="898"/>
      <c r="GP36" s="898"/>
      <c r="GQ36" s="898"/>
      <c r="GR36" s="898"/>
      <c r="GS36" s="898"/>
      <c r="GT36" s="898"/>
      <c r="GU36" s="898"/>
      <c r="GV36" s="898"/>
      <c r="GW36" s="898"/>
      <c r="GX36" s="898"/>
      <c r="GY36" s="898"/>
      <c r="GZ36" s="898"/>
      <c r="HA36" s="898"/>
      <c r="HB36" s="898"/>
      <c r="HC36" s="898"/>
      <c r="HD36" s="898"/>
      <c r="HE36" s="898"/>
      <c r="HF36" s="898"/>
      <c r="HG36" s="898"/>
      <c r="HH36" s="898"/>
      <c r="HI36" s="898"/>
      <c r="HJ36" s="898"/>
      <c r="HK36" s="898"/>
      <c r="HL36" s="898"/>
      <c r="HM36" s="898"/>
      <c r="HN36" s="898"/>
      <c r="HO36" s="898"/>
      <c r="HP36" s="898"/>
      <c r="HQ36" s="898"/>
      <c r="HR36" s="898"/>
      <c r="HS36" s="898"/>
      <c r="HT36" s="898"/>
      <c r="HU36" s="898"/>
      <c r="HV36" s="898"/>
      <c r="HW36" s="898"/>
      <c r="HX36" s="898"/>
      <c r="HY36" s="898"/>
      <c r="HZ36" s="898"/>
      <c r="IA36" s="898"/>
      <c r="IB36" s="898"/>
      <c r="IC36" s="898"/>
      <c r="ID36" s="898"/>
      <c r="IE36" s="898"/>
      <c r="IF36" s="898"/>
      <c r="IG36" s="898"/>
      <c r="IH36" s="898"/>
      <c r="II36" s="898"/>
      <c r="IJ36" s="898"/>
      <c r="IK36" s="898"/>
      <c r="IL36" s="898"/>
      <c r="IM36" s="898"/>
      <c r="IN36" s="898"/>
      <c r="IO36" s="898"/>
      <c r="IP36" s="898"/>
      <c r="IQ36" s="898"/>
      <c r="IR36" s="898"/>
      <c r="IS36" s="898"/>
      <c r="IT36" s="898"/>
      <c r="IU36" s="898"/>
      <c r="IV36" s="898"/>
    </row>
    <row r="37" spans="1:256" ht="16.5" customHeight="1">
      <c r="A37" s="898" t="s">
        <v>1424</v>
      </c>
      <c r="B37" s="898"/>
      <c r="C37" s="898"/>
      <c r="D37" s="870">
        <v>24.584</v>
      </c>
      <c r="E37" s="864"/>
      <c r="F37" s="1438">
        <v>8.984</v>
      </c>
      <c r="G37" s="864"/>
      <c r="H37" s="1438">
        <v>9.0640000000000001</v>
      </c>
      <c r="I37" s="1439"/>
      <c r="J37" s="1438">
        <v>0</v>
      </c>
      <c r="K37" s="1439"/>
      <c r="L37" s="865">
        <f t="shared" si="0"/>
        <v>24.504000000000001</v>
      </c>
      <c r="M37" s="905"/>
      <c r="N37" s="898"/>
      <c r="O37" s="898"/>
      <c r="P37" s="898"/>
      <c r="Q37" s="898"/>
      <c r="R37" s="898"/>
      <c r="S37" s="898"/>
      <c r="T37" s="898"/>
      <c r="U37" s="898"/>
      <c r="V37" s="898"/>
      <c r="W37" s="898"/>
      <c r="X37" s="898"/>
      <c r="Y37" s="898"/>
      <c r="Z37" s="898"/>
      <c r="AA37" s="898"/>
      <c r="AB37" s="898"/>
      <c r="AC37" s="898"/>
      <c r="AD37" s="898"/>
      <c r="AE37" s="898"/>
      <c r="AF37" s="898"/>
      <c r="AG37" s="898"/>
      <c r="AH37" s="898"/>
      <c r="AI37" s="898"/>
      <c r="AJ37" s="898"/>
      <c r="AK37" s="898"/>
      <c r="AL37" s="898"/>
      <c r="AM37" s="898"/>
      <c r="AN37" s="898"/>
      <c r="AO37" s="898"/>
      <c r="AP37" s="898"/>
      <c r="AQ37" s="898"/>
      <c r="AR37" s="898"/>
      <c r="AS37" s="898"/>
      <c r="AT37" s="898"/>
      <c r="AU37" s="898"/>
      <c r="AV37" s="898"/>
      <c r="AW37" s="898"/>
      <c r="AX37" s="898"/>
      <c r="AY37" s="898"/>
      <c r="AZ37" s="898"/>
      <c r="BA37" s="898"/>
      <c r="BB37" s="898"/>
      <c r="BC37" s="898"/>
      <c r="BD37" s="898"/>
      <c r="BE37" s="898"/>
      <c r="BF37" s="898"/>
      <c r="BG37" s="898"/>
      <c r="BH37" s="898"/>
      <c r="BI37" s="898"/>
      <c r="BJ37" s="898"/>
      <c r="BK37" s="898"/>
      <c r="BL37" s="898"/>
      <c r="BM37" s="898"/>
      <c r="BN37" s="898"/>
      <c r="BO37" s="898"/>
      <c r="BP37" s="898"/>
      <c r="BQ37" s="898"/>
      <c r="BR37" s="898"/>
      <c r="BS37" s="898"/>
      <c r="BT37" s="898"/>
      <c r="BU37" s="898"/>
      <c r="BV37" s="898"/>
      <c r="BW37" s="898"/>
      <c r="BX37" s="898"/>
      <c r="BY37" s="898"/>
      <c r="BZ37" s="898"/>
      <c r="CA37" s="898"/>
      <c r="CB37" s="898"/>
      <c r="CC37" s="898"/>
      <c r="CD37" s="898"/>
      <c r="CE37" s="898"/>
      <c r="CF37" s="898"/>
      <c r="CG37" s="898"/>
      <c r="CH37" s="898"/>
      <c r="CI37" s="898"/>
      <c r="CJ37" s="898"/>
      <c r="CK37" s="898"/>
      <c r="CL37" s="898"/>
      <c r="CM37" s="898"/>
      <c r="CN37" s="898"/>
      <c r="CO37" s="898"/>
      <c r="CP37" s="898"/>
      <c r="CQ37" s="898"/>
      <c r="CR37" s="898"/>
      <c r="CS37" s="898"/>
      <c r="CT37" s="898"/>
      <c r="CU37" s="898"/>
      <c r="CV37" s="898"/>
      <c r="CW37" s="898"/>
      <c r="CX37" s="898"/>
      <c r="CY37" s="898"/>
      <c r="CZ37" s="898"/>
      <c r="DA37" s="898"/>
      <c r="DB37" s="898"/>
      <c r="DC37" s="898"/>
      <c r="DD37" s="898"/>
      <c r="DE37" s="898"/>
      <c r="DF37" s="898"/>
      <c r="DG37" s="898"/>
      <c r="DH37" s="898"/>
      <c r="DI37" s="898"/>
      <c r="DJ37" s="898"/>
      <c r="DK37" s="898"/>
      <c r="DL37" s="898"/>
      <c r="DM37" s="898"/>
      <c r="DN37" s="898"/>
      <c r="DO37" s="898"/>
      <c r="DP37" s="898"/>
      <c r="DQ37" s="898"/>
      <c r="DR37" s="898"/>
      <c r="DS37" s="898"/>
      <c r="DT37" s="898"/>
      <c r="DU37" s="898"/>
      <c r="DV37" s="898"/>
      <c r="DW37" s="898"/>
      <c r="DX37" s="898"/>
      <c r="DY37" s="898"/>
      <c r="DZ37" s="898"/>
      <c r="EA37" s="898"/>
      <c r="EB37" s="898"/>
      <c r="EC37" s="898"/>
      <c r="ED37" s="898"/>
      <c r="EE37" s="898"/>
      <c r="EF37" s="898"/>
      <c r="EG37" s="898"/>
      <c r="EH37" s="898"/>
      <c r="EI37" s="898"/>
      <c r="EJ37" s="898"/>
      <c r="EK37" s="898"/>
      <c r="EL37" s="898"/>
      <c r="EM37" s="898"/>
      <c r="EN37" s="898"/>
      <c r="EO37" s="898"/>
      <c r="EP37" s="898"/>
      <c r="EQ37" s="898"/>
      <c r="ER37" s="898"/>
      <c r="ES37" s="898"/>
      <c r="ET37" s="898"/>
      <c r="EU37" s="898"/>
      <c r="EV37" s="898"/>
      <c r="EW37" s="898"/>
      <c r="EX37" s="898"/>
      <c r="EY37" s="898"/>
      <c r="EZ37" s="898"/>
      <c r="FA37" s="898"/>
      <c r="FB37" s="898"/>
      <c r="FC37" s="898"/>
      <c r="FD37" s="898"/>
      <c r="FE37" s="898"/>
      <c r="FF37" s="898"/>
      <c r="FG37" s="898"/>
      <c r="FH37" s="898"/>
      <c r="FI37" s="898"/>
      <c r="FJ37" s="898"/>
      <c r="FK37" s="898"/>
      <c r="FL37" s="898"/>
      <c r="FM37" s="898"/>
      <c r="FN37" s="898"/>
      <c r="FO37" s="898"/>
      <c r="FP37" s="898"/>
      <c r="FQ37" s="898"/>
      <c r="FR37" s="898"/>
      <c r="FS37" s="898"/>
      <c r="FT37" s="898"/>
      <c r="FU37" s="898"/>
      <c r="FV37" s="898"/>
      <c r="FW37" s="898"/>
      <c r="FX37" s="898"/>
      <c r="FY37" s="898"/>
      <c r="FZ37" s="898"/>
      <c r="GA37" s="898"/>
      <c r="GB37" s="898"/>
      <c r="GC37" s="898"/>
      <c r="GD37" s="898"/>
      <c r="GE37" s="898"/>
      <c r="GF37" s="898"/>
      <c r="GG37" s="898"/>
      <c r="GH37" s="898"/>
      <c r="GI37" s="898"/>
      <c r="GJ37" s="898"/>
      <c r="GK37" s="898"/>
      <c r="GL37" s="898"/>
      <c r="GM37" s="898"/>
      <c r="GN37" s="898"/>
      <c r="GO37" s="898"/>
      <c r="GP37" s="898"/>
      <c r="GQ37" s="898"/>
      <c r="GR37" s="898"/>
      <c r="GS37" s="898"/>
      <c r="GT37" s="898"/>
      <c r="GU37" s="898"/>
      <c r="GV37" s="898"/>
      <c r="GW37" s="898"/>
      <c r="GX37" s="898"/>
      <c r="GY37" s="898"/>
      <c r="GZ37" s="898"/>
      <c r="HA37" s="898"/>
      <c r="HB37" s="898"/>
      <c r="HC37" s="898"/>
      <c r="HD37" s="898"/>
      <c r="HE37" s="898"/>
      <c r="HF37" s="898"/>
      <c r="HG37" s="898"/>
      <c r="HH37" s="898"/>
      <c r="HI37" s="898"/>
      <c r="HJ37" s="898"/>
      <c r="HK37" s="898"/>
      <c r="HL37" s="898"/>
      <c r="HM37" s="898"/>
      <c r="HN37" s="898"/>
      <c r="HO37" s="898"/>
      <c r="HP37" s="898"/>
      <c r="HQ37" s="898"/>
      <c r="HR37" s="898"/>
      <c r="HS37" s="898"/>
      <c r="HT37" s="898"/>
      <c r="HU37" s="898"/>
      <c r="HV37" s="898"/>
      <c r="HW37" s="898"/>
      <c r="HX37" s="898"/>
      <c r="HY37" s="898"/>
      <c r="HZ37" s="898"/>
      <c r="IA37" s="898"/>
      <c r="IB37" s="898"/>
      <c r="IC37" s="898"/>
      <c r="ID37" s="898"/>
      <c r="IE37" s="898"/>
      <c r="IF37" s="898"/>
      <c r="IG37" s="898"/>
      <c r="IH37" s="898"/>
      <c r="II37" s="898"/>
      <c r="IJ37" s="898"/>
      <c r="IK37" s="898"/>
      <c r="IL37" s="898"/>
      <c r="IM37" s="898"/>
      <c r="IN37" s="898"/>
      <c r="IO37" s="898"/>
      <c r="IP37" s="898"/>
      <c r="IQ37" s="898"/>
      <c r="IR37" s="898"/>
      <c r="IS37" s="898"/>
      <c r="IT37" s="898"/>
      <c r="IU37" s="898"/>
      <c r="IV37" s="898"/>
    </row>
    <row r="38" spans="1:256" ht="16.5" customHeight="1">
      <c r="A38" s="898" t="s">
        <v>406</v>
      </c>
      <c r="B38" s="898"/>
      <c r="C38" s="898"/>
      <c r="D38" s="870">
        <v>49.47</v>
      </c>
      <c r="E38" s="864"/>
      <c r="F38" s="1439">
        <v>219.51900000000001</v>
      </c>
      <c r="G38" s="1439"/>
      <c r="H38" s="1439">
        <v>222.47300000000001</v>
      </c>
      <c r="I38" s="1439"/>
      <c r="J38" s="1438">
        <v>0</v>
      </c>
      <c r="K38" s="1439"/>
      <c r="L38" s="865">
        <f t="shared" si="0"/>
        <v>46.515999999999998</v>
      </c>
      <c r="M38" s="905"/>
      <c r="N38" s="898"/>
      <c r="O38" s="898"/>
      <c r="P38" s="898"/>
      <c r="Q38" s="898"/>
      <c r="R38" s="898"/>
      <c r="S38" s="898"/>
      <c r="T38" s="898"/>
      <c r="U38" s="898"/>
      <c r="V38" s="898"/>
      <c r="W38" s="898"/>
      <c r="X38" s="898"/>
      <c r="Y38" s="898"/>
      <c r="Z38" s="898"/>
      <c r="AA38" s="898"/>
      <c r="AB38" s="898"/>
      <c r="AC38" s="898"/>
      <c r="AD38" s="898"/>
      <c r="AE38" s="898"/>
      <c r="AF38" s="898"/>
      <c r="AG38" s="898"/>
      <c r="AH38" s="898"/>
      <c r="AI38" s="898"/>
      <c r="AJ38" s="898"/>
      <c r="AK38" s="898"/>
      <c r="AL38" s="898"/>
      <c r="AM38" s="898"/>
      <c r="AN38" s="898"/>
      <c r="AO38" s="898"/>
      <c r="AP38" s="898"/>
      <c r="AQ38" s="898"/>
      <c r="AR38" s="898"/>
      <c r="AS38" s="898"/>
      <c r="AT38" s="898"/>
      <c r="AU38" s="898"/>
      <c r="AV38" s="898"/>
      <c r="AW38" s="898"/>
      <c r="AX38" s="898"/>
      <c r="AY38" s="898"/>
      <c r="AZ38" s="898"/>
      <c r="BA38" s="898"/>
      <c r="BB38" s="898"/>
      <c r="BC38" s="898"/>
      <c r="BD38" s="898"/>
      <c r="BE38" s="898"/>
      <c r="BF38" s="898"/>
      <c r="BG38" s="898"/>
      <c r="BH38" s="898"/>
      <c r="BI38" s="898"/>
      <c r="BJ38" s="898"/>
      <c r="BK38" s="898"/>
      <c r="BL38" s="898"/>
      <c r="BM38" s="898"/>
      <c r="BN38" s="898"/>
      <c r="BO38" s="898"/>
      <c r="BP38" s="898"/>
      <c r="BQ38" s="898"/>
      <c r="BR38" s="898"/>
      <c r="BS38" s="898"/>
      <c r="BT38" s="898"/>
      <c r="BU38" s="898"/>
      <c r="BV38" s="898"/>
      <c r="BW38" s="898"/>
      <c r="BX38" s="898"/>
      <c r="BY38" s="898"/>
      <c r="BZ38" s="898"/>
      <c r="CA38" s="898"/>
      <c r="CB38" s="898"/>
      <c r="CC38" s="898"/>
      <c r="CD38" s="898"/>
      <c r="CE38" s="898"/>
      <c r="CF38" s="898"/>
      <c r="CG38" s="898"/>
      <c r="CH38" s="898"/>
      <c r="CI38" s="898"/>
      <c r="CJ38" s="898"/>
      <c r="CK38" s="898"/>
      <c r="CL38" s="898"/>
      <c r="CM38" s="898"/>
      <c r="CN38" s="898"/>
      <c r="CO38" s="898"/>
      <c r="CP38" s="898"/>
      <c r="CQ38" s="898"/>
      <c r="CR38" s="898"/>
      <c r="CS38" s="898"/>
      <c r="CT38" s="898"/>
      <c r="CU38" s="898"/>
      <c r="CV38" s="898"/>
      <c r="CW38" s="898"/>
      <c r="CX38" s="898"/>
      <c r="CY38" s="898"/>
      <c r="CZ38" s="898"/>
      <c r="DA38" s="898"/>
      <c r="DB38" s="898"/>
      <c r="DC38" s="898"/>
      <c r="DD38" s="898"/>
      <c r="DE38" s="898"/>
      <c r="DF38" s="898"/>
      <c r="DG38" s="898"/>
      <c r="DH38" s="898"/>
      <c r="DI38" s="898"/>
      <c r="DJ38" s="898"/>
      <c r="DK38" s="898"/>
      <c r="DL38" s="898"/>
      <c r="DM38" s="898"/>
      <c r="DN38" s="898"/>
      <c r="DO38" s="898"/>
      <c r="DP38" s="898"/>
      <c r="DQ38" s="898"/>
      <c r="DR38" s="898"/>
      <c r="DS38" s="898"/>
      <c r="DT38" s="898"/>
      <c r="DU38" s="898"/>
      <c r="DV38" s="898"/>
      <c r="DW38" s="898"/>
      <c r="DX38" s="898"/>
      <c r="DY38" s="898"/>
      <c r="DZ38" s="898"/>
      <c r="EA38" s="898"/>
      <c r="EB38" s="898"/>
      <c r="EC38" s="898"/>
      <c r="ED38" s="898"/>
      <c r="EE38" s="898"/>
      <c r="EF38" s="898"/>
      <c r="EG38" s="898"/>
      <c r="EH38" s="898"/>
      <c r="EI38" s="898"/>
      <c r="EJ38" s="898"/>
      <c r="EK38" s="898"/>
      <c r="EL38" s="898"/>
      <c r="EM38" s="898"/>
      <c r="EN38" s="898"/>
      <c r="EO38" s="898"/>
      <c r="EP38" s="898"/>
      <c r="EQ38" s="898"/>
      <c r="ER38" s="898"/>
      <c r="ES38" s="898"/>
      <c r="ET38" s="898"/>
      <c r="EU38" s="898"/>
      <c r="EV38" s="898"/>
      <c r="EW38" s="898"/>
      <c r="EX38" s="898"/>
      <c r="EY38" s="898"/>
      <c r="EZ38" s="898"/>
      <c r="FA38" s="898"/>
      <c r="FB38" s="898"/>
      <c r="FC38" s="898"/>
      <c r="FD38" s="898"/>
      <c r="FE38" s="898"/>
      <c r="FF38" s="898"/>
      <c r="FG38" s="898"/>
      <c r="FH38" s="898"/>
      <c r="FI38" s="898"/>
      <c r="FJ38" s="898"/>
      <c r="FK38" s="898"/>
      <c r="FL38" s="898"/>
      <c r="FM38" s="898"/>
      <c r="FN38" s="898"/>
      <c r="FO38" s="898"/>
      <c r="FP38" s="898"/>
      <c r="FQ38" s="898"/>
      <c r="FR38" s="898"/>
      <c r="FS38" s="898"/>
      <c r="FT38" s="898"/>
      <c r="FU38" s="898"/>
      <c r="FV38" s="898"/>
      <c r="FW38" s="898"/>
      <c r="FX38" s="898"/>
      <c r="FY38" s="898"/>
      <c r="FZ38" s="898"/>
      <c r="GA38" s="898"/>
      <c r="GB38" s="898"/>
      <c r="GC38" s="898"/>
      <c r="GD38" s="898"/>
      <c r="GE38" s="898"/>
      <c r="GF38" s="898"/>
      <c r="GG38" s="898"/>
      <c r="GH38" s="898"/>
      <c r="GI38" s="898"/>
      <c r="GJ38" s="898"/>
      <c r="GK38" s="898"/>
      <c r="GL38" s="898"/>
      <c r="GM38" s="898"/>
      <c r="GN38" s="898"/>
      <c r="GO38" s="898"/>
      <c r="GP38" s="898"/>
      <c r="GQ38" s="898"/>
      <c r="GR38" s="898"/>
      <c r="GS38" s="898"/>
      <c r="GT38" s="898"/>
      <c r="GU38" s="898"/>
      <c r="GV38" s="898"/>
      <c r="GW38" s="898"/>
      <c r="GX38" s="898"/>
      <c r="GY38" s="898"/>
      <c r="GZ38" s="898"/>
      <c r="HA38" s="898"/>
      <c r="HB38" s="898"/>
      <c r="HC38" s="898"/>
      <c r="HD38" s="898"/>
      <c r="HE38" s="898"/>
      <c r="HF38" s="898"/>
      <c r="HG38" s="898"/>
      <c r="HH38" s="898"/>
      <c r="HI38" s="898"/>
      <c r="HJ38" s="898"/>
      <c r="HK38" s="898"/>
      <c r="HL38" s="898"/>
      <c r="HM38" s="898"/>
      <c r="HN38" s="898"/>
      <c r="HO38" s="898"/>
      <c r="HP38" s="898"/>
      <c r="HQ38" s="898"/>
      <c r="HR38" s="898"/>
      <c r="HS38" s="898"/>
      <c r="HT38" s="898"/>
      <c r="HU38" s="898"/>
      <c r="HV38" s="898"/>
      <c r="HW38" s="898"/>
      <c r="HX38" s="898"/>
      <c r="HY38" s="898"/>
      <c r="HZ38" s="898"/>
      <c r="IA38" s="898"/>
      <c r="IB38" s="898"/>
      <c r="IC38" s="898"/>
      <c r="ID38" s="898"/>
      <c r="IE38" s="898"/>
      <c r="IF38" s="898"/>
      <c r="IG38" s="898"/>
      <c r="IH38" s="898"/>
      <c r="II38" s="898"/>
      <c r="IJ38" s="898"/>
      <c r="IK38" s="898"/>
      <c r="IL38" s="898"/>
      <c r="IM38" s="898"/>
      <c r="IN38" s="898"/>
      <c r="IO38" s="898"/>
      <c r="IP38" s="898"/>
      <c r="IQ38" s="898"/>
      <c r="IR38" s="898"/>
      <c r="IS38" s="898"/>
      <c r="IT38" s="898"/>
      <c r="IU38" s="898"/>
      <c r="IV38" s="898"/>
    </row>
    <row r="39" spans="1:256" ht="16.5" customHeight="1">
      <c r="A39" s="898" t="s">
        <v>1425</v>
      </c>
      <c r="B39" s="898"/>
      <c r="C39" s="898"/>
      <c r="D39" s="870">
        <v>259.72699999999998</v>
      </c>
      <c r="E39" s="864"/>
      <c r="F39" s="1439">
        <v>5623.8149999999996</v>
      </c>
      <c r="G39" s="1439"/>
      <c r="H39" s="1439">
        <v>5533.2690000000002</v>
      </c>
      <c r="I39" s="1439"/>
      <c r="J39" s="1438">
        <v>9</v>
      </c>
      <c r="K39" s="1439"/>
      <c r="L39" s="865">
        <f t="shared" si="0"/>
        <v>359.27300000000002</v>
      </c>
      <c r="M39" s="905"/>
      <c r="N39" s="898"/>
      <c r="O39" s="898"/>
      <c r="P39" s="898"/>
      <c r="Q39" s="898"/>
      <c r="R39" s="898"/>
      <c r="S39" s="898"/>
      <c r="T39" s="898"/>
      <c r="U39" s="898"/>
      <c r="V39" s="898"/>
      <c r="W39" s="898"/>
      <c r="X39" s="898"/>
      <c r="Y39" s="898"/>
      <c r="Z39" s="898"/>
      <c r="AA39" s="898"/>
      <c r="AB39" s="898"/>
      <c r="AC39" s="898"/>
      <c r="AD39" s="898"/>
      <c r="AE39" s="898"/>
      <c r="AF39" s="898"/>
      <c r="AG39" s="898"/>
      <c r="AH39" s="898"/>
      <c r="AI39" s="898"/>
      <c r="AJ39" s="898"/>
      <c r="AK39" s="898"/>
      <c r="AL39" s="898"/>
      <c r="AM39" s="898"/>
      <c r="AN39" s="898"/>
      <c r="AO39" s="898"/>
      <c r="AP39" s="898"/>
      <c r="AQ39" s="898"/>
      <c r="AR39" s="898"/>
      <c r="AS39" s="898"/>
      <c r="AT39" s="898"/>
      <c r="AU39" s="898"/>
      <c r="AV39" s="898"/>
      <c r="AW39" s="898"/>
      <c r="AX39" s="898"/>
      <c r="AY39" s="898"/>
      <c r="AZ39" s="898"/>
      <c r="BA39" s="898"/>
      <c r="BB39" s="898"/>
      <c r="BC39" s="898"/>
      <c r="BD39" s="898"/>
      <c r="BE39" s="898"/>
      <c r="BF39" s="898"/>
      <c r="BG39" s="898"/>
      <c r="BH39" s="898"/>
      <c r="BI39" s="898"/>
      <c r="BJ39" s="898"/>
      <c r="BK39" s="898"/>
      <c r="BL39" s="898"/>
      <c r="BM39" s="898"/>
      <c r="BN39" s="898"/>
      <c r="BO39" s="898"/>
      <c r="BP39" s="898"/>
      <c r="BQ39" s="898"/>
      <c r="BR39" s="898"/>
      <c r="BS39" s="898"/>
      <c r="BT39" s="898"/>
      <c r="BU39" s="898"/>
      <c r="BV39" s="898"/>
      <c r="BW39" s="898"/>
      <c r="BX39" s="898"/>
      <c r="BY39" s="898"/>
      <c r="BZ39" s="898"/>
      <c r="CA39" s="898"/>
      <c r="CB39" s="898"/>
      <c r="CC39" s="898"/>
      <c r="CD39" s="898"/>
      <c r="CE39" s="898"/>
      <c r="CF39" s="898"/>
      <c r="CG39" s="898"/>
      <c r="CH39" s="898"/>
      <c r="CI39" s="898"/>
      <c r="CJ39" s="898"/>
      <c r="CK39" s="898"/>
      <c r="CL39" s="898"/>
      <c r="CM39" s="898"/>
      <c r="CN39" s="898"/>
      <c r="CO39" s="898"/>
      <c r="CP39" s="898"/>
      <c r="CQ39" s="898"/>
      <c r="CR39" s="898"/>
      <c r="CS39" s="898"/>
      <c r="CT39" s="898"/>
      <c r="CU39" s="898"/>
      <c r="CV39" s="898"/>
      <c r="CW39" s="898"/>
      <c r="CX39" s="898"/>
      <c r="CY39" s="898"/>
      <c r="CZ39" s="898"/>
      <c r="DA39" s="898"/>
      <c r="DB39" s="898"/>
      <c r="DC39" s="898"/>
      <c r="DD39" s="898"/>
      <c r="DE39" s="898"/>
      <c r="DF39" s="898"/>
      <c r="DG39" s="898"/>
      <c r="DH39" s="898"/>
      <c r="DI39" s="898"/>
      <c r="DJ39" s="898"/>
      <c r="DK39" s="898"/>
      <c r="DL39" s="898"/>
      <c r="DM39" s="898"/>
      <c r="DN39" s="898"/>
      <c r="DO39" s="898"/>
      <c r="DP39" s="898"/>
      <c r="DQ39" s="898"/>
      <c r="DR39" s="898"/>
      <c r="DS39" s="898"/>
      <c r="DT39" s="898"/>
      <c r="DU39" s="898"/>
      <c r="DV39" s="898"/>
      <c r="DW39" s="898"/>
      <c r="DX39" s="898"/>
      <c r="DY39" s="898"/>
      <c r="DZ39" s="898"/>
      <c r="EA39" s="898"/>
      <c r="EB39" s="898"/>
      <c r="EC39" s="898"/>
      <c r="ED39" s="898"/>
      <c r="EE39" s="898"/>
      <c r="EF39" s="898"/>
      <c r="EG39" s="898"/>
      <c r="EH39" s="898"/>
      <c r="EI39" s="898"/>
      <c r="EJ39" s="898"/>
      <c r="EK39" s="898"/>
      <c r="EL39" s="898"/>
      <c r="EM39" s="898"/>
      <c r="EN39" s="898"/>
      <c r="EO39" s="898"/>
      <c r="EP39" s="898"/>
      <c r="EQ39" s="898"/>
      <c r="ER39" s="898"/>
      <c r="ES39" s="898"/>
      <c r="ET39" s="898"/>
      <c r="EU39" s="898"/>
      <c r="EV39" s="898"/>
      <c r="EW39" s="898"/>
      <c r="EX39" s="898"/>
      <c r="EY39" s="898"/>
      <c r="EZ39" s="898"/>
      <c r="FA39" s="898"/>
      <c r="FB39" s="898"/>
      <c r="FC39" s="898"/>
      <c r="FD39" s="898"/>
      <c r="FE39" s="898"/>
      <c r="FF39" s="898"/>
      <c r="FG39" s="898"/>
      <c r="FH39" s="898"/>
      <c r="FI39" s="898"/>
      <c r="FJ39" s="898"/>
      <c r="FK39" s="898"/>
      <c r="FL39" s="898"/>
      <c r="FM39" s="898"/>
      <c r="FN39" s="898"/>
      <c r="FO39" s="898"/>
      <c r="FP39" s="898"/>
      <c r="FQ39" s="898"/>
      <c r="FR39" s="898"/>
      <c r="FS39" s="898"/>
      <c r="FT39" s="898"/>
      <c r="FU39" s="898"/>
      <c r="FV39" s="898"/>
      <c r="FW39" s="898"/>
      <c r="FX39" s="898"/>
      <c r="FY39" s="898"/>
      <c r="FZ39" s="898"/>
      <c r="GA39" s="898"/>
      <c r="GB39" s="898"/>
      <c r="GC39" s="898"/>
      <c r="GD39" s="898"/>
      <c r="GE39" s="898"/>
      <c r="GF39" s="898"/>
      <c r="GG39" s="898"/>
      <c r="GH39" s="898"/>
      <c r="GI39" s="898"/>
      <c r="GJ39" s="898"/>
      <c r="GK39" s="898"/>
      <c r="GL39" s="898"/>
      <c r="GM39" s="898"/>
      <c r="GN39" s="898"/>
      <c r="GO39" s="898"/>
      <c r="GP39" s="898"/>
      <c r="GQ39" s="898"/>
      <c r="GR39" s="898"/>
      <c r="GS39" s="898"/>
      <c r="GT39" s="898"/>
      <c r="GU39" s="898"/>
      <c r="GV39" s="898"/>
      <c r="GW39" s="898"/>
      <c r="GX39" s="898"/>
      <c r="GY39" s="898"/>
      <c r="GZ39" s="898"/>
      <c r="HA39" s="898"/>
      <c r="HB39" s="898"/>
      <c r="HC39" s="898"/>
      <c r="HD39" s="898"/>
      <c r="HE39" s="898"/>
      <c r="HF39" s="898"/>
      <c r="HG39" s="898"/>
      <c r="HH39" s="898"/>
      <c r="HI39" s="898"/>
      <c r="HJ39" s="898"/>
      <c r="HK39" s="898"/>
      <c r="HL39" s="898"/>
      <c r="HM39" s="898"/>
      <c r="HN39" s="898"/>
      <c r="HO39" s="898"/>
      <c r="HP39" s="898"/>
      <c r="HQ39" s="898"/>
      <c r="HR39" s="898"/>
      <c r="HS39" s="898"/>
      <c r="HT39" s="898"/>
      <c r="HU39" s="898"/>
      <c r="HV39" s="898"/>
      <c r="HW39" s="898"/>
      <c r="HX39" s="898"/>
      <c r="HY39" s="898"/>
      <c r="HZ39" s="898"/>
      <c r="IA39" s="898"/>
      <c r="IB39" s="898"/>
      <c r="IC39" s="898"/>
      <c r="ID39" s="898"/>
      <c r="IE39" s="898"/>
      <c r="IF39" s="898"/>
      <c r="IG39" s="898"/>
      <c r="IH39" s="898"/>
      <c r="II39" s="898"/>
      <c r="IJ39" s="898"/>
      <c r="IK39" s="898"/>
      <c r="IL39" s="898"/>
      <c r="IM39" s="898"/>
      <c r="IN39" s="898"/>
      <c r="IO39" s="898"/>
      <c r="IP39" s="898"/>
      <c r="IQ39" s="898"/>
      <c r="IR39" s="898"/>
      <c r="IS39" s="898"/>
      <c r="IT39" s="898"/>
      <c r="IU39" s="898"/>
      <c r="IV39" s="898"/>
    </row>
    <row r="40" spans="1:256" ht="15.75" customHeight="1">
      <c r="A40" s="898" t="s">
        <v>407</v>
      </c>
      <c r="B40" s="898"/>
      <c r="C40" s="898"/>
      <c r="D40" s="1438">
        <v>0</v>
      </c>
      <c r="E40" s="864"/>
      <c r="F40" s="1438">
        <v>0</v>
      </c>
      <c r="G40" s="1439"/>
      <c r="H40" s="1438">
        <v>0</v>
      </c>
      <c r="I40" s="1439"/>
      <c r="J40" s="1438">
        <v>0</v>
      </c>
      <c r="K40" s="1439"/>
      <c r="L40" s="865">
        <f t="shared" si="0"/>
        <v>0</v>
      </c>
      <c r="M40" s="905"/>
      <c r="N40" s="898"/>
      <c r="P40" s="898"/>
      <c r="Q40" s="898"/>
      <c r="R40" s="898"/>
      <c r="S40" s="898"/>
      <c r="T40" s="898"/>
      <c r="U40" s="898"/>
      <c r="V40" s="898"/>
      <c r="W40" s="898"/>
      <c r="X40" s="898"/>
      <c r="Y40" s="898"/>
      <c r="Z40" s="898"/>
      <c r="AA40" s="898"/>
      <c r="AB40" s="898"/>
      <c r="AC40" s="898"/>
      <c r="AD40" s="898"/>
      <c r="AE40" s="898"/>
      <c r="AF40" s="898"/>
      <c r="AG40" s="898"/>
      <c r="AH40" s="898"/>
      <c r="AI40" s="898"/>
      <c r="AJ40" s="898"/>
      <c r="AK40" s="898"/>
      <c r="AL40" s="898"/>
      <c r="AM40" s="898"/>
      <c r="AN40" s="898"/>
      <c r="AO40" s="898"/>
      <c r="AP40" s="898"/>
      <c r="AQ40" s="898"/>
      <c r="AR40" s="898"/>
      <c r="AS40" s="898"/>
      <c r="AT40" s="898"/>
      <c r="AU40" s="898"/>
      <c r="AV40" s="898"/>
      <c r="AW40" s="898"/>
      <c r="AX40" s="898"/>
      <c r="AY40" s="898"/>
      <c r="AZ40" s="898"/>
      <c r="BA40" s="898"/>
      <c r="BB40" s="898"/>
      <c r="BC40" s="898"/>
      <c r="BD40" s="898"/>
      <c r="BE40" s="898"/>
      <c r="BF40" s="898"/>
      <c r="BG40" s="898"/>
      <c r="BH40" s="898"/>
      <c r="BI40" s="898"/>
      <c r="BJ40" s="898"/>
      <c r="BK40" s="898"/>
      <c r="BL40" s="898"/>
      <c r="BM40" s="898"/>
      <c r="BN40" s="898"/>
      <c r="BO40" s="898"/>
      <c r="BP40" s="898"/>
      <c r="BQ40" s="898"/>
      <c r="BR40" s="898"/>
      <c r="BS40" s="898"/>
      <c r="BT40" s="898"/>
      <c r="BU40" s="898"/>
      <c r="BV40" s="898"/>
      <c r="BW40" s="898"/>
      <c r="BX40" s="898"/>
      <c r="BY40" s="898"/>
      <c r="BZ40" s="898"/>
      <c r="CA40" s="898"/>
      <c r="CB40" s="898"/>
      <c r="CC40" s="898"/>
      <c r="CD40" s="898"/>
      <c r="CE40" s="898"/>
      <c r="CF40" s="898"/>
      <c r="CG40" s="898"/>
      <c r="CH40" s="898"/>
      <c r="CI40" s="898"/>
      <c r="CJ40" s="898"/>
      <c r="CK40" s="898"/>
      <c r="CL40" s="898"/>
      <c r="CM40" s="898"/>
      <c r="CN40" s="898"/>
      <c r="CO40" s="898"/>
      <c r="CP40" s="898"/>
      <c r="CQ40" s="898"/>
      <c r="CR40" s="898"/>
      <c r="CS40" s="898"/>
      <c r="CT40" s="898"/>
      <c r="CU40" s="898"/>
      <c r="CV40" s="898"/>
      <c r="CW40" s="898"/>
      <c r="CX40" s="898"/>
      <c r="CY40" s="898"/>
      <c r="CZ40" s="898"/>
      <c r="DA40" s="898"/>
      <c r="DB40" s="898"/>
      <c r="DC40" s="898"/>
      <c r="DD40" s="898"/>
      <c r="DE40" s="898"/>
      <c r="DF40" s="898"/>
      <c r="DG40" s="898"/>
      <c r="DH40" s="898"/>
      <c r="DI40" s="898"/>
      <c r="DJ40" s="898"/>
      <c r="DK40" s="898"/>
      <c r="DL40" s="898"/>
      <c r="DM40" s="898"/>
      <c r="DN40" s="898"/>
      <c r="DO40" s="898"/>
      <c r="DP40" s="898"/>
      <c r="DQ40" s="898"/>
      <c r="DR40" s="898"/>
      <c r="DS40" s="898"/>
      <c r="DT40" s="898"/>
      <c r="DU40" s="898"/>
      <c r="DV40" s="898"/>
      <c r="DW40" s="898"/>
      <c r="DX40" s="898"/>
      <c r="DY40" s="898"/>
      <c r="DZ40" s="898"/>
      <c r="EA40" s="898"/>
      <c r="EB40" s="898"/>
      <c r="EC40" s="898"/>
      <c r="ED40" s="898"/>
      <c r="EE40" s="898"/>
      <c r="EF40" s="898"/>
      <c r="EG40" s="898"/>
      <c r="EH40" s="898"/>
      <c r="EI40" s="898"/>
      <c r="EJ40" s="898"/>
      <c r="EK40" s="898"/>
      <c r="EL40" s="898"/>
      <c r="EM40" s="898"/>
      <c r="EN40" s="898"/>
      <c r="EO40" s="898"/>
      <c r="EP40" s="898"/>
      <c r="EQ40" s="898"/>
      <c r="ER40" s="898"/>
      <c r="ES40" s="898"/>
      <c r="ET40" s="898"/>
      <c r="EU40" s="898"/>
      <c r="EV40" s="898"/>
      <c r="EW40" s="898"/>
      <c r="EX40" s="898"/>
      <c r="EY40" s="898"/>
      <c r="EZ40" s="898"/>
      <c r="FA40" s="898"/>
      <c r="FB40" s="898"/>
      <c r="FC40" s="898"/>
      <c r="FD40" s="898"/>
      <c r="FE40" s="898"/>
      <c r="FF40" s="898"/>
      <c r="FG40" s="898"/>
      <c r="FH40" s="898"/>
      <c r="FI40" s="898"/>
      <c r="FJ40" s="898"/>
      <c r="FK40" s="898"/>
      <c r="FL40" s="898"/>
      <c r="FM40" s="898"/>
      <c r="FN40" s="898"/>
      <c r="FO40" s="898"/>
      <c r="FP40" s="898"/>
      <c r="FQ40" s="898"/>
      <c r="FR40" s="898"/>
      <c r="FS40" s="898"/>
      <c r="FT40" s="898"/>
      <c r="FU40" s="898"/>
      <c r="FV40" s="898"/>
      <c r="FW40" s="898"/>
      <c r="FX40" s="898"/>
      <c r="FY40" s="898"/>
      <c r="FZ40" s="898"/>
      <c r="GA40" s="898"/>
      <c r="GB40" s="898"/>
      <c r="GC40" s="898"/>
      <c r="GD40" s="898"/>
      <c r="GE40" s="898"/>
      <c r="GF40" s="898"/>
      <c r="GG40" s="898"/>
      <c r="GH40" s="898"/>
      <c r="GI40" s="898"/>
      <c r="GJ40" s="898"/>
      <c r="GK40" s="898"/>
      <c r="GL40" s="898"/>
      <c r="GM40" s="898"/>
      <c r="GN40" s="898"/>
      <c r="GO40" s="898"/>
      <c r="GP40" s="898"/>
      <c r="GQ40" s="898"/>
      <c r="GR40" s="898"/>
      <c r="GS40" s="898"/>
      <c r="GT40" s="898"/>
      <c r="GU40" s="898"/>
      <c r="GV40" s="898"/>
      <c r="GW40" s="898"/>
      <c r="GX40" s="898"/>
      <c r="GY40" s="898"/>
      <c r="GZ40" s="898"/>
      <c r="HA40" s="898"/>
      <c r="HB40" s="898"/>
      <c r="HC40" s="898"/>
      <c r="HD40" s="898"/>
      <c r="HE40" s="898"/>
      <c r="HF40" s="898"/>
      <c r="HG40" s="898"/>
      <c r="HH40" s="898"/>
      <c r="HI40" s="898"/>
      <c r="HJ40" s="898"/>
      <c r="HK40" s="898"/>
      <c r="HL40" s="898"/>
      <c r="HM40" s="898"/>
      <c r="HN40" s="898"/>
      <c r="HO40" s="898"/>
      <c r="HP40" s="898"/>
      <c r="HQ40" s="898"/>
      <c r="HR40" s="898"/>
      <c r="HS40" s="898"/>
      <c r="HT40" s="898"/>
      <c r="HU40" s="898"/>
      <c r="HV40" s="898"/>
      <c r="HW40" s="898"/>
      <c r="HX40" s="898"/>
      <c r="HY40" s="898"/>
      <c r="HZ40" s="898"/>
      <c r="IA40" s="898"/>
      <c r="IB40" s="898"/>
      <c r="IC40" s="898"/>
      <c r="ID40" s="898"/>
      <c r="IE40" s="898"/>
      <c r="IF40" s="898"/>
      <c r="IG40" s="898"/>
      <c r="IH40" s="898"/>
      <c r="II40" s="898"/>
      <c r="IJ40" s="898"/>
      <c r="IK40" s="898"/>
      <c r="IL40" s="898"/>
      <c r="IM40" s="898"/>
      <c r="IN40" s="898"/>
      <c r="IO40" s="898"/>
      <c r="IP40" s="898"/>
      <c r="IQ40" s="898"/>
      <c r="IR40" s="898"/>
      <c r="IS40" s="898"/>
      <c r="IT40" s="898"/>
      <c r="IU40" s="898"/>
      <c r="IV40" s="898"/>
    </row>
    <row r="41" spans="1:256" ht="15.75" customHeight="1">
      <c r="A41" s="898" t="s">
        <v>1398</v>
      </c>
      <c r="B41" s="898"/>
      <c r="C41" s="898"/>
      <c r="D41" s="870">
        <v>253.4</v>
      </c>
      <c r="E41" s="864"/>
      <c r="F41" s="1439">
        <v>-72.498000000000005</v>
      </c>
      <c r="G41" s="1439"/>
      <c r="H41" s="1438">
        <v>0</v>
      </c>
      <c r="I41" s="1439"/>
      <c r="J41" s="1438">
        <v>0</v>
      </c>
      <c r="K41" s="1439"/>
      <c r="L41" s="865">
        <f t="shared" si="0"/>
        <v>180.90199999999999</v>
      </c>
      <c r="M41" s="905"/>
      <c r="N41" s="898"/>
      <c r="O41" s="898"/>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8"/>
      <c r="AO41" s="898"/>
      <c r="AP41" s="898"/>
      <c r="AQ41" s="898"/>
      <c r="AR41" s="898"/>
      <c r="AS41" s="898"/>
      <c r="AT41" s="898"/>
      <c r="AU41" s="898"/>
      <c r="AV41" s="898"/>
      <c r="AW41" s="898"/>
      <c r="AX41" s="898"/>
      <c r="AY41" s="898"/>
      <c r="AZ41" s="898"/>
      <c r="BA41" s="898"/>
      <c r="BB41" s="898"/>
      <c r="BC41" s="898"/>
      <c r="BD41" s="898"/>
      <c r="BE41" s="898"/>
      <c r="BF41" s="898"/>
      <c r="BG41" s="898"/>
      <c r="BH41" s="898"/>
      <c r="BI41" s="898"/>
      <c r="BJ41" s="898"/>
      <c r="BK41" s="898"/>
      <c r="BL41" s="898"/>
      <c r="BM41" s="898"/>
      <c r="BN41" s="898"/>
      <c r="BO41" s="898"/>
      <c r="BP41" s="898"/>
      <c r="BQ41" s="898"/>
      <c r="BR41" s="898"/>
      <c r="BS41" s="898"/>
      <c r="BT41" s="898"/>
      <c r="BU41" s="898"/>
      <c r="BV41" s="898"/>
      <c r="BW41" s="898"/>
      <c r="BX41" s="898"/>
      <c r="BY41" s="898"/>
      <c r="BZ41" s="898"/>
      <c r="CA41" s="898"/>
      <c r="CB41" s="898"/>
      <c r="CC41" s="898"/>
      <c r="CD41" s="898"/>
      <c r="CE41" s="898"/>
      <c r="CF41" s="898"/>
      <c r="CG41" s="898"/>
      <c r="CH41" s="898"/>
      <c r="CI41" s="898"/>
      <c r="CJ41" s="898"/>
      <c r="CK41" s="898"/>
      <c r="CL41" s="898"/>
      <c r="CM41" s="898"/>
      <c r="CN41" s="898"/>
      <c r="CO41" s="898"/>
      <c r="CP41" s="898"/>
      <c r="CQ41" s="898"/>
      <c r="CR41" s="898"/>
      <c r="CS41" s="898"/>
      <c r="CT41" s="898"/>
      <c r="CU41" s="898"/>
      <c r="CV41" s="898"/>
      <c r="CW41" s="898"/>
      <c r="CX41" s="898"/>
      <c r="CY41" s="898"/>
      <c r="CZ41" s="898"/>
      <c r="DA41" s="898"/>
      <c r="DB41" s="898"/>
      <c r="DC41" s="898"/>
      <c r="DD41" s="898"/>
      <c r="DE41" s="898"/>
      <c r="DF41" s="898"/>
      <c r="DG41" s="898"/>
      <c r="DH41" s="898"/>
      <c r="DI41" s="898"/>
      <c r="DJ41" s="898"/>
      <c r="DK41" s="898"/>
      <c r="DL41" s="898"/>
      <c r="DM41" s="898"/>
      <c r="DN41" s="898"/>
      <c r="DO41" s="898"/>
      <c r="DP41" s="898"/>
      <c r="DQ41" s="898"/>
      <c r="DR41" s="898"/>
      <c r="DS41" s="898"/>
      <c r="DT41" s="898"/>
      <c r="DU41" s="898"/>
      <c r="DV41" s="898"/>
      <c r="DW41" s="898"/>
      <c r="DX41" s="898"/>
      <c r="DY41" s="898"/>
      <c r="DZ41" s="898"/>
      <c r="EA41" s="898"/>
      <c r="EB41" s="898"/>
      <c r="EC41" s="898"/>
      <c r="ED41" s="898"/>
      <c r="EE41" s="898"/>
      <c r="EF41" s="898"/>
      <c r="EG41" s="898"/>
      <c r="EH41" s="898"/>
      <c r="EI41" s="898"/>
      <c r="EJ41" s="898"/>
      <c r="EK41" s="898"/>
      <c r="EL41" s="898"/>
      <c r="EM41" s="898"/>
      <c r="EN41" s="898"/>
      <c r="EO41" s="898"/>
      <c r="EP41" s="898"/>
      <c r="EQ41" s="898"/>
      <c r="ER41" s="898"/>
      <c r="ES41" s="898"/>
      <c r="ET41" s="898"/>
      <c r="EU41" s="898"/>
      <c r="EV41" s="898"/>
      <c r="EW41" s="898"/>
      <c r="EX41" s="898"/>
      <c r="EY41" s="898"/>
      <c r="EZ41" s="898"/>
      <c r="FA41" s="898"/>
      <c r="FB41" s="898"/>
      <c r="FC41" s="898"/>
      <c r="FD41" s="898"/>
      <c r="FE41" s="898"/>
      <c r="FF41" s="898"/>
      <c r="FG41" s="898"/>
      <c r="FH41" s="898"/>
      <c r="FI41" s="898"/>
      <c r="FJ41" s="898"/>
      <c r="FK41" s="898"/>
      <c r="FL41" s="898"/>
      <c r="FM41" s="898"/>
      <c r="FN41" s="898"/>
      <c r="FO41" s="898"/>
      <c r="FP41" s="898"/>
      <c r="FQ41" s="898"/>
      <c r="FR41" s="898"/>
      <c r="FS41" s="898"/>
      <c r="FT41" s="898"/>
      <c r="FU41" s="898"/>
      <c r="FV41" s="898"/>
      <c r="FW41" s="898"/>
      <c r="FX41" s="898"/>
      <c r="FY41" s="898"/>
      <c r="FZ41" s="898"/>
      <c r="GA41" s="898"/>
      <c r="GB41" s="898"/>
      <c r="GC41" s="898"/>
      <c r="GD41" s="898"/>
      <c r="GE41" s="898"/>
      <c r="GF41" s="898"/>
      <c r="GG41" s="898"/>
      <c r="GH41" s="898"/>
      <c r="GI41" s="898"/>
      <c r="GJ41" s="898"/>
      <c r="GK41" s="898"/>
      <c r="GL41" s="898"/>
      <c r="GM41" s="898"/>
      <c r="GN41" s="898"/>
      <c r="GO41" s="898"/>
      <c r="GP41" s="898"/>
      <c r="GQ41" s="898"/>
      <c r="GR41" s="898"/>
      <c r="GS41" s="898"/>
      <c r="GT41" s="898"/>
      <c r="GU41" s="898"/>
      <c r="GV41" s="898"/>
      <c r="GW41" s="898"/>
      <c r="GX41" s="898"/>
      <c r="GY41" s="898"/>
      <c r="GZ41" s="898"/>
      <c r="HA41" s="898"/>
      <c r="HB41" s="898"/>
      <c r="HC41" s="898"/>
      <c r="HD41" s="898"/>
      <c r="HE41" s="898"/>
      <c r="HF41" s="898"/>
      <c r="HG41" s="898"/>
      <c r="HH41" s="898"/>
      <c r="HI41" s="898"/>
      <c r="HJ41" s="898"/>
      <c r="HK41" s="898"/>
      <c r="HL41" s="898"/>
      <c r="HM41" s="898"/>
      <c r="HN41" s="898"/>
      <c r="HO41" s="898"/>
      <c r="HP41" s="898"/>
      <c r="HQ41" s="898"/>
      <c r="HR41" s="898"/>
      <c r="HS41" s="898"/>
      <c r="HT41" s="898"/>
      <c r="HU41" s="898"/>
      <c r="HV41" s="898"/>
      <c r="HW41" s="898"/>
      <c r="HX41" s="898"/>
      <c r="HY41" s="898"/>
      <c r="HZ41" s="898"/>
      <c r="IA41" s="898"/>
      <c r="IB41" s="898"/>
      <c r="IC41" s="898"/>
      <c r="ID41" s="898"/>
      <c r="IE41" s="898"/>
      <c r="IF41" s="898"/>
      <c r="IG41" s="898"/>
      <c r="IH41" s="898"/>
      <c r="II41" s="898"/>
      <c r="IJ41" s="898"/>
      <c r="IK41" s="898"/>
      <c r="IL41" s="898"/>
      <c r="IM41" s="898"/>
      <c r="IN41" s="898"/>
      <c r="IO41" s="898"/>
      <c r="IP41" s="898"/>
      <c r="IQ41" s="898"/>
      <c r="IR41" s="898"/>
      <c r="IS41" s="898"/>
      <c r="IT41" s="898"/>
      <c r="IU41" s="898"/>
      <c r="IV41" s="898"/>
    </row>
    <row r="42" spans="1:256" ht="15.75" customHeight="1">
      <c r="A42" s="898" t="s">
        <v>1399</v>
      </c>
      <c r="B42" s="898"/>
      <c r="C42" s="898"/>
      <c r="D42" s="1438">
        <v>-6.4470000000000001</v>
      </c>
      <c r="E42" s="864"/>
      <c r="F42" s="1439">
        <v>-5.0179999999999998</v>
      </c>
      <c r="G42" s="1439"/>
      <c r="H42" s="1440">
        <v>0</v>
      </c>
      <c r="I42" s="1439"/>
      <c r="J42" s="1440">
        <v>0</v>
      </c>
      <c r="K42" s="1439"/>
      <c r="L42" s="865">
        <f t="shared" si="0"/>
        <v>-11.465</v>
      </c>
      <c r="M42" s="905"/>
      <c r="N42" s="898"/>
      <c r="O42" s="898"/>
      <c r="P42" s="898"/>
      <c r="Q42" s="898"/>
      <c r="R42" s="898"/>
      <c r="S42" s="898"/>
      <c r="T42" s="898"/>
      <c r="U42" s="898"/>
      <c r="V42" s="898"/>
      <c r="W42" s="898"/>
      <c r="X42" s="898"/>
      <c r="Y42" s="898"/>
      <c r="Z42" s="898"/>
      <c r="AA42" s="898"/>
      <c r="AB42" s="898"/>
      <c r="AC42" s="898"/>
      <c r="AD42" s="898"/>
      <c r="AE42" s="898"/>
      <c r="AF42" s="898"/>
      <c r="AG42" s="898"/>
      <c r="AH42" s="898"/>
      <c r="AI42" s="898"/>
      <c r="AJ42" s="898"/>
      <c r="AK42" s="898"/>
      <c r="AL42" s="898"/>
      <c r="AM42" s="898"/>
      <c r="AN42" s="898"/>
      <c r="AO42" s="898"/>
      <c r="AP42" s="898"/>
      <c r="AQ42" s="898"/>
      <c r="AR42" s="898"/>
      <c r="AS42" s="898"/>
      <c r="AT42" s="898"/>
      <c r="AU42" s="898"/>
      <c r="AV42" s="898"/>
      <c r="AW42" s="898"/>
      <c r="AX42" s="898"/>
      <c r="AY42" s="898"/>
      <c r="AZ42" s="898"/>
      <c r="BA42" s="898"/>
      <c r="BB42" s="898"/>
      <c r="BC42" s="898"/>
      <c r="BD42" s="898"/>
      <c r="BE42" s="898"/>
      <c r="BF42" s="898"/>
      <c r="BG42" s="898"/>
      <c r="BH42" s="898"/>
      <c r="BI42" s="898"/>
      <c r="BJ42" s="898"/>
      <c r="BK42" s="898"/>
      <c r="BL42" s="898"/>
      <c r="BM42" s="898"/>
      <c r="BN42" s="898"/>
      <c r="BO42" s="898"/>
      <c r="BP42" s="898"/>
      <c r="BQ42" s="898"/>
      <c r="BR42" s="898"/>
      <c r="BS42" s="898"/>
      <c r="BT42" s="898"/>
      <c r="BU42" s="898"/>
      <c r="BV42" s="898"/>
      <c r="BW42" s="898"/>
      <c r="BX42" s="898"/>
      <c r="BY42" s="898"/>
      <c r="BZ42" s="898"/>
      <c r="CA42" s="898"/>
      <c r="CB42" s="898"/>
      <c r="CC42" s="898"/>
      <c r="CD42" s="898"/>
      <c r="CE42" s="898"/>
      <c r="CF42" s="898"/>
      <c r="CG42" s="898"/>
      <c r="CH42" s="898"/>
      <c r="CI42" s="898"/>
      <c r="CJ42" s="898"/>
      <c r="CK42" s="898"/>
      <c r="CL42" s="898"/>
      <c r="CM42" s="898"/>
      <c r="CN42" s="898"/>
      <c r="CO42" s="898"/>
      <c r="CP42" s="898"/>
      <c r="CQ42" s="898"/>
      <c r="CR42" s="898"/>
      <c r="CS42" s="898"/>
      <c r="CT42" s="898"/>
      <c r="CU42" s="898"/>
      <c r="CV42" s="898"/>
      <c r="CW42" s="898"/>
      <c r="CX42" s="898"/>
      <c r="CY42" s="898"/>
      <c r="CZ42" s="898"/>
      <c r="DA42" s="898"/>
      <c r="DB42" s="898"/>
      <c r="DC42" s="898"/>
      <c r="DD42" s="898"/>
      <c r="DE42" s="898"/>
      <c r="DF42" s="898"/>
      <c r="DG42" s="898"/>
      <c r="DH42" s="898"/>
      <c r="DI42" s="898"/>
      <c r="DJ42" s="898"/>
      <c r="DK42" s="898"/>
      <c r="DL42" s="898"/>
      <c r="DM42" s="898"/>
      <c r="DN42" s="898"/>
      <c r="DO42" s="898"/>
      <c r="DP42" s="898"/>
      <c r="DQ42" s="898"/>
      <c r="DR42" s="898"/>
      <c r="DS42" s="898"/>
      <c r="DT42" s="898"/>
      <c r="DU42" s="898"/>
      <c r="DV42" s="898"/>
      <c r="DW42" s="898"/>
      <c r="DX42" s="898"/>
      <c r="DY42" s="898"/>
      <c r="DZ42" s="898"/>
      <c r="EA42" s="898"/>
      <c r="EB42" s="898"/>
      <c r="EC42" s="898"/>
      <c r="ED42" s="898"/>
      <c r="EE42" s="898"/>
      <c r="EF42" s="898"/>
      <c r="EG42" s="898"/>
      <c r="EH42" s="898"/>
      <c r="EI42" s="898"/>
      <c r="EJ42" s="898"/>
      <c r="EK42" s="898"/>
      <c r="EL42" s="898"/>
      <c r="EM42" s="898"/>
      <c r="EN42" s="898"/>
      <c r="EO42" s="898"/>
      <c r="EP42" s="898"/>
      <c r="EQ42" s="898"/>
      <c r="ER42" s="898"/>
      <c r="ES42" s="898"/>
      <c r="ET42" s="898"/>
      <c r="EU42" s="898"/>
      <c r="EV42" s="898"/>
      <c r="EW42" s="898"/>
      <c r="EX42" s="898"/>
      <c r="EY42" s="898"/>
      <c r="EZ42" s="898"/>
      <c r="FA42" s="898"/>
      <c r="FB42" s="898"/>
      <c r="FC42" s="898"/>
      <c r="FD42" s="898"/>
      <c r="FE42" s="898"/>
      <c r="FF42" s="898"/>
      <c r="FG42" s="898"/>
      <c r="FH42" s="898"/>
      <c r="FI42" s="898"/>
      <c r="FJ42" s="898"/>
      <c r="FK42" s="898"/>
      <c r="FL42" s="898"/>
      <c r="FM42" s="898"/>
      <c r="FN42" s="898"/>
      <c r="FO42" s="898"/>
      <c r="FP42" s="898"/>
      <c r="FQ42" s="898"/>
      <c r="FR42" s="898"/>
      <c r="FS42" s="898"/>
      <c r="FT42" s="898"/>
      <c r="FU42" s="898"/>
      <c r="FV42" s="898"/>
      <c r="FW42" s="898"/>
      <c r="FX42" s="898"/>
      <c r="FY42" s="898"/>
      <c r="FZ42" s="898"/>
      <c r="GA42" s="898"/>
      <c r="GB42" s="898"/>
      <c r="GC42" s="898"/>
      <c r="GD42" s="898"/>
      <c r="GE42" s="898"/>
      <c r="GF42" s="898"/>
      <c r="GG42" s="898"/>
      <c r="GH42" s="898"/>
      <c r="GI42" s="898"/>
      <c r="GJ42" s="898"/>
      <c r="GK42" s="898"/>
      <c r="GL42" s="898"/>
      <c r="GM42" s="898"/>
      <c r="GN42" s="898"/>
      <c r="GO42" s="898"/>
      <c r="GP42" s="898"/>
      <c r="GQ42" s="898"/>
      <c r="GR42" s="898"/>
      <c r="GS42" s="898"/>
      <c r="GT42" s="898"/>
      <c r="GU42" s="898"/>
      <c r="GV42" s="898"/>
      <c r="GW42" s="898"/>
      <c r="GX42" s="898"/>
      <c r="GY42" s="898"/>
      <c r="GZ42" s="898"/>
      <c r="HA42" s="898"/>
      <c r="HB42" s="898"/>
      <c r="HC42" s="898"/>
      <c r="HD42" s="898"/>
      <c r="HE42" s="898"/>
      <c r="HF42" s="898"/>
      <c r="HG42" s="898"/>
      <c r="HH42" s="898"/>
      <c r="HI42" s="898"/>
      <c r="HJ42" s="898"/>
      <c r="HK42" s="898"/>
      <c r="HL42" s="898"/>
      <c r="HM42" s="898"/>
      <c r="HN42" s="898"/>
      <c r="HO42" s="898"/>
      <c r="HP42" s="898"/>
      <c r="HQ42" s="898"/>
      <c r="HR42" s="898"/>
      <c r="HS42" s="898"/>
      <c r="HT42" s="898"/>
      <c r="HU42" s="898"/>
      <c r="HV42" s="898"/>
      <c r="HW42" s="898"/>
      <c r="HX42" s="898"/>
      <c r="HY42" s="898"/>
      <c r="HZ42" s="898"/>
      <c r="IA42" s="898"/>
      <c r="IB42" s="898"/>
      <c r="IC42" s="898"/>
      <c r="ID42" s="898"/>
      <c r="IE42" s="898"/>
      <c r="IF42" s="898"/>
      <c r="IG42" s="898"/>
      <c r="IH42" s="898"/>
      <c r="II42" s="898"/>
      <c r="IJ42" s="898"/>
      <c r="IK42" s="898"/>
      <c r="IL42" s="898"/>
      <c r="IM42" s="898"/>
      <c r="IN42" s="898"/>
      <c r="IO42" s="898"/>
      <c r="IP42" s="898"/>
      <c r="IQ42" s="898"/>
      <c r="IR42" s="898"/>
      <c r="IS42" s="898"/>
      <c r="IT42" s="898"/>
      <c r="IU42" s="898"/>
      <c r="IV42" s="898"/>
    </row>
    <row r="43" spans="1:256" ht="18" customHeight="1">
      <c r="A43" s="898" t="s">
        <v>1615</v>
      </c>
      <c r="B43" s="898"/>
      <c r="C43" s="898"/>
      <c r="D43" s="1442">
        <v>0</v>
      </c>
      <c r="E43" s="870"/>
      <c r="F43" s="870">
        <v>0</v>
      </c>
      <c r="G43" s="870"/>
      <c r="H43" s="870">
        <v>0</v>
      </c>
      <c r="I43" s="870"/>
      <c r="J43" s="870">
        <v>0</v>
      </c>
      <c r="K43" s="870"/>
      <c r="L43" s="865">
        <f t="shared" si="0"/>
        <v>0</v>
      </c>
      <c r="M43" s="905"/>
      <c r="N43" s="898"/>
      <c r="O43" s="911"/>
      <c r="P43" s="911"/>
      <c r="Q43" s="898"/>
      <c r="R43" s="898"/>
      <c r="S43" s="898"/>
      <c r="T43" s="898"/>
      <c r="U43" s="898"/>
      <c r="V43" s="898"/>
      <c r="W43" s="898"/>
      <c r="X43" s="898"/>
      <c r="Y43" s="898"/>
      <c r="Z43" s="898"/>
      <c r="AA43" s="898"/>
      <c r="AB43" s="898"/>
      <c r="AC43" s="898"/>
      <c r="AD43" s="898"/>
      <c r="AE43" s="898"/>
      <c r="AF43" s="898"/>
      <c r="AG43" s="898"/>
      <c r="AH43" s="898"/>
      <c r="AI43" s="898"/>
      <c r="AJ43" s="898"/>
      <c r="AK43" s="898"/>
      <c r="AL43" s="898"/>
      <c r="AM43" s="898"/>
      <c r="AN43" s="898"/>
      <c r="AO43" s="898"/>
      <c r="AP43" s="898"/>
      <c r="AQ43" s="898"/>
      <c r="AR43" s="898"/>
      <c r="AS43" s="898"/>
      <c r="AT43" s="898"/>
      <c r="AU43" s="898"/>
      <c r="AV43" s="898"/>
      <c r="AW43" s="898"/>
      <c r="AX43" s="898"/>
      <c r="AY43" s="898"/>
      <c r="AZ43" s="898"/>
      <c r="BA43" s="898"/>
      <c r="BB43" s="898"/>
      <c r="BC43" s="898"/>
      <c r="BD43" s="898"/>
      <c r="BE43" s="898"/>
      <c r="BF43" s="898"/>
      <c r="BG43" s="898"/>
      <c r="BH43" s="898"/>
      <c r="BI43" s="898"/>
      <c r="BJ43" s="898"/>
      <c r="BK43" s="898"/>
      <c r="BL43" s="898"/>
      <c r="BM43" s="898"/>
      <c r="BN43" s="898"/>
      <c r="BO43" s="898"/>
      <c r="BP43" s="898"/>
      <c r="BQ43" s="898"/>
      <c r="BR43" s="898"/>
      <c r="BS43" s="898"/>
      <c r="BT43" s="898"/>
      <c r="BU43" s="898"/>
      <c r="BV43" s="898"/>
      <c r="BW43" s="898"/>
      <c r="BX43" s="898"/>
      <c r="BY43" s="898"/>
      <c r="BZ43" s="898"/>
      <c r="CA43" s="898"/>
      <c r="CB43" s="898"/>
      <c r="CC43" s="898"/>
      <c r="CD43" s="898"/>
      <c r="CE43" s="898"/>
      <c r="CF43" s="898"/>
      <c r="CG43" s="898"/>
      <c r="CH43" s="898"/>
      <c r="CI43" s="898"/>
      <c r="CJ43" s="898"/>
      <c r="CK43" s="898"/>
      <c r="CL43" s="898"/>
      <c r="CM43" s="898"/>
      <c r="CN43" s="898"/>
      <c r="CO43" s="898"/>
      <c r="CP43" s="898"/>
      <c r="CQ43" s="898"/>
      <c r="CR43" s="898"/>
      <c r="CS43" s="898"/>
      <c r="CT43" s="898"/>
      <c r="CU43" s="898"/>
      <c r="CV43" s="898"/>
      <c r="CW43" s="898"/>
      <c r="CX43" s="898"/>
      <c r="CY43" s="898"/>
      <c r="CZ43" s="898"/>
      <c r="DA43" s="898"/>
      <c r="DB43" s="898"/>
      <c r="DC43" s="898"/>
      <c r="DD43" s="898"/>
      <c r="DE43" s="898"/>
      <c r="DF43" s="898"/>
      <c r="DG43" s="898"/>
      <c r="DH43" s="898"/>
      <c r="DI43" s="898"/>
      <c r="DJ43" s="898"/>
      <c r="DK43" s="898"/>
      <c r="DL43" s="898"/>
      <c r="DM43" s="898"/>
      <c r="DN43" s="898"/>
      <c r="DO43" s="898"/>
      <c r="DP43" s="898"/>
      <c r="DQ43" s="898"/>
      <c r="DR43" s="898"/>
      <c r="DS43" s="898"/>
      <c r="DT43" s="898"/>
      <c r="DU43" s="898"/>
      <c r="DV43" s="898"/>
      <c r="DW43" s="898"/>
      <c r="DX43" s="898"/>
      <c r="DY43" s="898"/>
      <c r="DZ43" s="898"/>
      <c r="EA43" s="898"/>
      <c r="EB43" s="898"/>
      <c r="EC43" s="898"/>
      <c r="ED43" s="898"/>
      <c r="EE43" s="898"/>
      <c r="EF43" s="898"/>
      <c r="EG43" s="898"/>
      <c r="EH43" s="898"/>
      <c r="EI43" s="898"/>
      <c r="EJ43" s="898"/>
      <c r="EK43" s="898"/>
      <c r="EL43" s="898"/>
      <c r="EM43" s="898"/>
      <c r="EN43" s="898"/>
      <c r="EO43" s="898"/>
      <c r="EP43" s="898"/>
      <c r="EQ43" s="898"/>
      <c r="ER43" s="898"/>
      <c r="ES43" s="898"/>
      <c r="ET43" s="898"/>
      <c r="EU43" s="898"/>
      <c r="EV43" s="898"/>
      <c r="EW43" s="898"/>
      <c r="EX43" s="898"/>
      <c r="EY43" s="898"/>
      <c r="EZ43" s="898"/>
      <c r="FA43" s="898"/>
      <c r="FB43" s="898"/>
      <c r="FC43" s="898"/>
      <c r="FD43" s="898"/>
      <c r="FE43" s="898"/>
      <c r="FF43" s="898"/>
      <c r="FG43" s="898"/>
      <c r="FH43" s="898"/>
      <c r="FI43" s="898"/>
      <c r="FJ43" s="898"/>
      <c r="FK43" s="898"/>
      <c r="FL43" s="898"/>
      <c r="FM43" s="898"/>
      <c r="FN43" s="898"/>
      <c r="FO43" s="898"/>
      <c r="FP43" s="898"/>
      <c r="FQ43" s="898"/>
      <c r="FR43" s="898"/>
      <c r="FS43" s="898"/>
      <c r="FT43" s="898"/>
      <c r="FU43" s="898"/>
      <c r="FV43" s="898"/>
      <c r="FW43" s="898"/>
      <c r="FX43" s="898"/>
      <c r="FY43" s="898"/>
      <c r="FZ43" s="898"/>
      <c r="GA43" s="898"/>
      <c r="GB43" s="898"/>
      <c r="GC43" s="898"/>
      <c r="GD43" s="898"/>
      <c r="GE43" s="898"/>
      <c r="GF43" s="898"/>
      <c r="GG43" s="898"/>
      <c r="GH43" s="898"/>
      <c r="GI43" s="898"/>
      <c r="GJ43" s="898"/>
      <c r="GK43" s="898"/>
      <c r="GL43" s="898"/>
      <c r="GM43" s="898"/>
      <c r="GN43" s="898"/>
      <c r="GO43" s="898"/>
      <c r="GP43" s="898"/>
      <c r="GQ43" s="898"/>
      <c r="GR43" s="898"/>
      <c r="GS43" s="898"/>
      <c r="GT43" s="898"/>
      <c r="GU43" s="898"/>
      <c r="GV43" s="898"/>
      <c r="GW43" s="898"/>
      <c r="GX43" s="898"/>
      <c r="GY43" s="898"/>
      <c r="GZ43" s="898"/>
      <c r="HA43" s="898"/>
      <c r="HB43" s="898"/>
      <c r="HC43" s="898"/>
      <c r="HD43" s="898"/>
      <c r="HE43" s="898"/>
      <c r="HF43" s="898"/>
      <c r="HG43" s="898"/>
      <c r="HH43" s="898"/>
      <c r="HI43" s="898"/>
      <c r="HJ43" s="898"/>
      <c r="HK43" s="898"/>
      <c r="HL43" s="898"/>
      <c r="HM43" s="898"/>
      <c r="HN43" s="898"/>
      <c r="HO43" s="898"/>
      <c r="HP43" s="898"/>
      <c r="HQ43" s="898"/>
      <c r="HR43" s="898"/>
      <c r="HS43" s="898"/>
      <c r="HT43" s="898"/>
      <c r="HU43" s="898"/>
      <c r="HV43" s="898"/>
      <c r="HW43" s="898"/>
      <c r="HX43" s="898"/>
      <c r="HY43" s="898"/>
      <c r="HZ43" s="898"/>
      <c r="IA43" s="898"/>
      <c r="IB43" s="898"/>
      <c r="IC43" s="898"/>
      <c r="ID43" s="898"/>
      <c r="IE43" s="898"/>
      <c r="IF43" s="898"/>
      <c r="IG43" s="898"/>
      <c r="IH43" s="898"/>
      <c r="II43" s="898"/>
      <c r="IJ43" s="898"/>
      <c r="IK43" s="898"/>
      <c r="IL43" s="898"/>
      <c r="IM43" s="898"/>
      <c r="IN43" s="898"/>
      <c r="IO43" s="898"/>
      <c r="IP43" s="898"/>
      <c r="IQ43" s="898"/>
      <c r="IR43" s="898"/>
      <c r="IS43" s="898"/>
      <c r="IT43" s="898"/>
      <c r="IU43" s="898"/>
      <c r="IV43" s="898"/>
    </row>
    <row r="44" spans="1:256" ht="17.25" customHeight="1">
      <c r="A44" s="894" t="s">
        <v>408</v>
      </c>
      <c r="B44" s="898"/>
      <c r="C44" s="898"/>
      <c r="D44" s="1443">
        <f>ROUND(SUM(D27:D43),3)</f>
        <v>3002.105</v>
      </c>
      <c r="E44" s="1425"/>
      <c r="F44" s="1443">
        <f>ROUND(SUM(F27:F43),3)</f>
        <v>7173.2950000000001</v>
      </c>
      <c r="G44" s="1425"/>
      <c r="H44" s="1443">
        <f>ROUND(SUM(H27:H43),3)</f>
        <v>7021.4530000000004</v>
      </c>
      <c r="I44" s="1425"/>
      <c r="J44" s="1443">
        <f>ROUND(SUM(J27:J43),3)</f>
        <v>9</v>
      </c>
      <c r="K44" s="1425"/>
      <c r="L44" s="1443">
        <f>ROUND(SUM(L27:L43),3)</f>
        <v>3162.9470000000001</v>
      </c>
      <c r="M44" s="906"/>
      <c r="N44" s="767"/>
      <c r="O44" s="909"/>
      <c r="P44" s="898"/>
      <c r="Q44" s="898"/>
      <c r="R44" s="898"/>
      <c r="S44" s="898"/>
      <c r="T44" s="898"/>
      <c r="U44" s="898"/>
      <c r="V44" s="898"/>
      <c r="W44" s="898"/>
      <c r="X44" s="898"/>
      <c r="Y44" s="898"/>
      <c r="Z44" s="898"/>
      <c r="AA44" s="898"/>
      <c r="AB44" s="898"/>
      <c r="AC44" s="898"/>
      <c r="AD44" s="898"/>
      <c r="AE44" s="898"/>
      <c r="AF44" s="898"/>
      <c r="AG44" s="898"/>
      <c r="AH44" s="898"/>
      <c r="AI44" s="898"/>
      <c r="AJ44" s="898"/>
      <c r="AK44" s="898"/>
      <c r="AL44" s="898"/>
      <c r="AM44" s="898"/>
      <c r="AN44" s="898"/>
      <c r="AO44" s="898"/>
      <c r="AP44" s="898"/>
      <c r="AQ44" s="898"/>
      <c r="AR44" s="898"/>
      <c r="AS44" s="898"/>
      <c r="AT44" s="898"/>
      <c r="AU44" s="898"/>
      <c r="AV44" s="898"/>
      <c r="AW44" s="898"/>
      <c r="AX44" s="898"/>
      <c r="AY44" s="898"/>
      <c r="AZ44" s="898"/>
      <c r="BA44" s="898"/>
      <c r="BB44" s="898"/>
      <c r="BC44" s="898"/>
      <c r="BD44" s="898"/>
      <c r="BE44" s="898"/>
      <c r="BF44" s="898"/>
      <c r="BG44" s="898"/>
      <c r="BH44" s="898"/>
      <c r="BI44" s="898"/>
      <c r="BJ44" s="898"/>
      <c r="BK44" s="898"/>
      <c r="BL44" s="898"/>
      <c r="BM44" s="898"/>
      <c r="BN44" s="898"/>
      <c r="BO44" s="898"/>
      <c r="BP44" s="898"/>
      <c r="BQ44" s="898"/>
      <c r="BR44" s="898"/>
      <c r="BS44" s="898"/>
      <c r="BT44" s="898"/>
      <c r="BU44" s="898"/>
      <c r="BV44" s="898"/>
      <c r="BW44" s="898"/>
      <c r="BX44" s="898"/>
      <c r="BY44" s="898"/>
      <c r="BZ44" s="898"/>
      <c r="CA44" s="898"/>
      <c r="CB44" s="898"/>
      <c r="CC44" s="898"/>
      <c r="CD44" s="898"/>
      <c r="CE44" s="898"/>
      <c r="CF44" s="898"/>
      <c r="CG44" s="898"/>
      <c r="CH44" s="898"/>
      <c r="CI44" s="898"/>
      <c r="CJ44" s="898"/>
      <c r="CK44" s="898"/>
      <c r="CL44" s="898"/>
      <c r="CM44" s="898"/>
      <c r="CN44" s="898"/>
      <c r="CO44" s="898"/>
      <c r="CP44" s="898"/>
      <c r="CQ44" s="898"/>
      <c r="CR44" s="898"/>
      <c r="CS44" s="898"/>
      <c r="CT44" s="898"/>
      <c r="CU44" s="898"/>
      <c r="CV44" s="898"/>
      <c r="CW44" s="898"/>
      <c r="CX44" s="898"/>
      <c r="CY44" s="898"/>
      <c r="CZ44" s="898"/>
      <c r="DA44" s="898"/>
      <c r="DB44" s="898"/>
      <c r="DC44" s="898"/>
      <c r="DD44" s="898"/>
      <c r="DE44" s="898"/>
      <c r="DF44" s="898"/>
      <c r="DG44" s="898"/>
      <c r="DH44" s="898"/>
      <c r="DI44" s="898"/>
      <c r="DJ44" s="898"/>
      <c r="DK44" s="898"/>
      <c r="DL44" s="898"/>
      <c r="DM44" s="898"/>
      <c r="DN44" s="898"/>
      <c r="DO44" s="898"/>
      <c r="DP44" s="898"/>
      <c r="DQ44" s="898"/>
      <c r="DR44" s="898"/>
      <c r="DS44" s="898"/>
      <c r="DT44" s="898"/>
      <c r="DU44" s="898"/>
      <c r="DV44" s="898"/>
      <c r="DW44" s="898"/>
      <c r="DX44" s="898"/>
      <c r="DY44" s="898"/>
      <c r="DZ44" s="898"/>
      <c r="EA44" s="898"/>
      <c r="EB44" s="898"/>
      <c r="EC44" s="898"/>
      <c r="ED44" s="898"/>
      <c r="EE44" s="898"/>
      <c r="EF44" s="898"/>
      <c r="EG44" s="898"/>
      <c r="EH44" s="898"/>
      <c r="EI44" s="898"/>
      <c r="EJ44" s="898"/>
      <c r="EK44" s="898"/>
      <c r="EL44" s="898"/>
      <c r="EM44" s="898"/>
      <c r="EN44" s="898"/>
      <c r="EO44" s="898"/>
      <c r="EP44" s="898"/>
      <c r="EQ44" s="898"/>
      <c r="ER44" s="898"/>
      <c r="ES44" s="898"/>
      <c r="ET44" s="898"/>
      <c r="EU44" s="898"/>
      <c r="EV44" s="898"/>
      <c r="EW44" s="898"/>
      <c r="EX44" s="898"/>
      <c r="EY44" s="898"/>
      <c r="EZ44" s="898"/>
      <c r="FA44" s="898"/>
      <c r="FB44" s="898"/>
      <c r="FC44" s="898"/>
      <c r="FD44" s="898"/>
      <c r="FE44" s="898"/>
      <c r="FF44" s="898"/>
      <c r="FG44" s="898"/>
      <c r="FH44" s="898"/>
      <c r="FI44" s="898"/>
      <c r="FJ44" s="898"/>
      <c r="FK44" s="898"/>
      <c r="FL44" s="898"/>
      <c r="FM44" s="898"/>
      <c r="FN44" s="898"/>
      <c r="FO44" s="898"/>
      <c r="FP44" s="898"/>
      <c r="FQ44" s="898"/>
      <c r="FR44" s="898"/>
      <c r="FS44" s="898"/>
      <c r="FT44" s="898"/>
      <c r="FU44" s="898"/>
      <c r="FV44" s="898"/>
      <c r="FW44" s="898"/>
      <c r="FX44" s="898"/>
      <c r="FY44" s="898"/>
      <c r="FZ44" s="898"/>
      <c r="GA44" s="898"/>
      <c r="GB44" s="898"/>
      <c r="GC44" s="898"/>
      <c r="GD44" s="898"/>
      <c r="GE44" s="898"/>
      <c r="GF44" s="898"/>
      <c r="GG44" s="898"/>
      <c r="GH44" s="898"/>
      <c r="GI44" s="898"/>
      <c r="GJ44" s="898"/>
      <c r="GK44" s="898"/>
      <c r="GL44" s="898"/>
      <c r="GM44" s="898"/>
      <c r="GN44" s="898"/>
      <c r="GO44" s="898"/>
      <c r="GP44" s="898"/>
      <c r="GQ44" s="898"/>
      <c r="GR44" s="898"/>
      <c r="GS44" s="898"/>
      <c r="GT44" s="898"/>
      <c r="GU44" s="898"/>
      <c r="GV44" s="898"/>
      <c r="GW44" s="898"/>
      <c r="GX44" s="898"/>
      <c r="GY44" s="898"/>
      <c r="GZ44" s="898"/>
      <c r="HA44" s="898"/>
      <c r="HB44" s="898"/>
      <c r="HC44" s="898"/>
      <c r="HD44" s="898"/>
      <c r="HE44" s="898"/>
      <c r="HF44" s="898"/>
      <c r="HG44" s="898"/>
      <c r="HH44" s="898"/>
      <c r="HI44" s="898"/>
      <c r="HJ44" s="898"/>
      <c r="HK44" s="898"/>
      <c r="HL44" s="898"/>
      <c r="HM44" s="898"/>
      <c r="HN44" s="898"/>
      <c r="HO44" s="898"/>
      <c r="HP44" s="898"/>
      <c r="HQ44" s="898"/>
      <c r="HR44" s="898"/>
      <c r="HS44" s="898"/>
      <c r="HT44" s="898"/>
      <c r="HU44" s="898"/>
      <c r="HV44" s="898"/>
      <c r="HW44" s="898"/>
      <c r="HX44" s="898"/>
      <c r="HY44" s="898"/>
      <c r="HZ44" s="898"/>
      <c r="IA44" s="898"/>
      <c r="IB44" s="898"/>
      <c r="IC44" s="898"/>
      <c r="ID44" s="898"/>
      <c r="IE44" s="898"/>
      <c r="IF44" s="898"/>
      <c r="IG44" s="898"/>
      <c r="IH44" s="898"/>
      <c r="II44" s="898"/>
      <c r="IJ44" s="898"/>
      <c r="IK44" s="898"/>
      <c r="IL44" s="898"/>
      <c r="IM44" s="898"/>
      <c r="IN44" s="898"/>
      <c r="IO44" s="898"/>
      <c r="IP44" s="898"/>
      <c r="IQ44" s="898"/>
      <c r="IR44" s="898"/>
      <c r="IS44" s="898"/>
      <c r="IT44" s="898"/>
      <c r="IU44" s="898"/>
      <c r="IV44" s="898"/>
    </row>
    <row r="45" spans="1:256" ht="12" customHeight="1">
      <c r="A45" s="894"/>
      <c r="B45" s="898"/>
      <c r="C45" s="898"/>
      <c r="D45" s="1427" t="s">
        <v>16</v>
      </c>
      <c r="E45" s="865"/>
      <c r="F45" s="1427" t="s">
        <v>16</v>
      </c>
      <c r="G45" s="865"/>
      <c r="H45" s="1427" t="s">
        <v>16</v>
      </c>
      <c r="I45" s="865"/>
      <c r="J45" s="869" t="s">
        <v>16</v>
      </c>
      <c r="K45" s="865"/>
      <c r="L45" s="1427" t="s">
        <v>16</v>
      </c>
      <c r="M45" s="905"/>
      <c r="N45" s="898"/>
      <c r="O45" s="911"/>
      <c r="P45" s="911"/>
      <c r="Q45" s="898"/>
      <c r="R45" s="898"/>
      <c r="S45" s="898"/>
      <c r="T45" s="898"/>
      <c r="U45" s="898"/>
      <c r="V45" s="898"/>
      <c r="W45" s="898"/>
      <c r="X45" s="898"/>
      <c r="Y45" s="898"/>
      <c r="Z45" s="898"/>
      <c r="AA45" s="898"/>
      <c r="AB45" s="898"/>
      <c r="AC45" s="898"/>
      <c r="AD45" s="898"/>
      <c r="AE45" s="898"/>
      <c r="AF45" s="898"/>
      <c r="AG45" s="898"/>
      <c r="AH45" s="898"/>
      <c r="AI45" s="898"/>
      <c r="AJ45" s="898"/>
      <c r="AK45" s="898"/>
      <c r="AL45" s="898"/>
      <c r="AM45" s="898"/>
      <c r="AN45" s="898"/>
      <c r="AO45" s="898"/>
      <c r="AP45" s="898"/>
      <c r="AQ45" s="898"/>
      <c r="AR45" s="898"/>
      <c r="AS45" s="898"/>
      <c r="AT45" s="898"/>
      <c r="AU45" s="898"/>
      <c r="AV45" s="898"/>
      <c r="AW45" s="898"/>
      <c r="AX45" s="898"/>
      <c r="AY45" s="898"/>
      <c r="AZ45" s="898"/>
      <c r="BA45" s="898"/>
      <c r="BB45" s="898"/>
      <c r="BC45" s="898"/>
      <c r="BD45" s="898"/>
      <c r="BE45" s="898"/>
      <c r="BF45" s="898"/>
      <c r="BG45" s="898"/>
      <c r="BH45" s="898"/>
      <c r="BI45" s="898"/>
      <c r="BJ45" s="898"/>
      <c r="BK45" s="898"/>
      <c r="BL45" s="898"/>
      <c r="BM45" s="898"/>
      <c r="BN45" s="898"/>
      <c r="BO45" s="898"/>
      <c r="BP45" s="898"/>
      <c r="BQ45" s="898"/>
      <c r="BR45" s="898"/>
      <c r="BS45" s="898"/>
      <c r="BT45" s="898"/>
      <c r="BU45" s="898"/>
      <c r="BV45" s="898"/>
      <c r="BW45" s="898"/>
      <c r="BX45" s="898"/>
      <c r="BY45" s="898"/>
      <c r="BZ45" s="898"/>
      <c r="CA45" s="898"/>
      <c r="CB45" s="898"/>
      <c r="CC45" s="898"/>
      <c r="CD45" s="898"/>
      <c r="CE45" s="898"/>
      <c r="CF45" s="898"/>
      <c r="CG45" s="898"/>
      <c r="CH45" s="898"/>
      <c r="CI45" s="898"/>
      <c r="CJ45" s="898"/>
      <c r="CK45" s="898"/>
      <c r="CL45" s="898"/>
      <c r="CM45" s="898"/>
      <c r="CN45" s="898"/>
      <c r="CO45" s="898"/>
      <c r="CP45" s="898"/>
      <c r="CQ45" s="898"/>
      <c r="CR45" s="898"/>
      <c r="CS45" s="898"/>
      <c r="CT45" s="898"/>
      <c r="CU45" s="898"/>
      <c r="CV45" s="898"/>
      <c r="CW45" s="898"/>
      <c r="CX45" s="898"/>
      <c r="CY45" s="898"/>
      <c r="CZ45" s="898"/>
      <c r="DA45" s="898"/>
      <c r="DB45" s="898"/>
      <c r="DC45" s="898"/>
      <c r="DD45" s="898"/>
      <c r="DE45" s="898"/>
      <c r="DF45" s="898"/>
      <c r="DG45" s="898"/>
      <c r="DH45" s="898"/>
      <c r="DI45" s="898"/>
      <c r="DJ45" s="898"/>
      <c r="DK45" s="898"/>
      <c r="DL45" s="898"/>
      <c r="DM45" s="898"/>
      <c r="DN45" s="898"/>
      <c r="DO45" s="898"/>
      <c r="DP45" s="898"/>
      <c r="DQ45" s="898"/>
      <c r="DR45" s="898"/>
      <c r="DS45" s="898"/>
      <c r="DT45" s="898"/>
      <c r="DU45" s="898"/>
      <c r="DV45" s="898"/>
      <c r="DW45" s="898"/>
      <c r="DX45" s="898"/>
      <c r="DY45" s="898"/>
      <c r="DZ45" s="898"/>
      <c r="EA45" s="898"/>
      <c r="EB45" s="898"/>
      <c r="EC45" s="898"/>
      <c r="ED45" s="898"/>
      <c r="EE45" s="898"/>
      <c r="EF45" s="898"/>
      <c r="EG45" s="898"/>
      <c r="EH45" s="898"/>
      <c r="EI45" s="898"/>
      <c r="EJ45" s="898"/>
      <c r="EK45" s="898"/>
      <c r="EL45" s="898"/>
      <c r="EM45" s="898"/>
      <c r="EN45" s="898"/>
      <c r="EO45" s="898"/>
      <c r="EP45" s="898"/>
      <c r="EQ45" s="898"/>
      <c r="ER45" s="898"/>
      <c r="ES45" s="898"/>
      <c r="ET45" s="898"/>
      <c r="EU45" s="898"/>
      <c r="EV45" s="898"/>
      <c r="EW45" s="898"/>
      <c r="EX45" s="898"/>
      <c r="EY45" s="898"/>
      <c r="EZ45" s="898"/>
      <c r="FA45" s="898"/>
      <c r="FB45" s="898"/>
      <c r="FC45" s="898"/>
      <c r="FD45" s="898"/>
      <c r="FE45" s="898"/>
      <c r="FF45" s="898"/>
      <c r="FG45" s="898"/>
      <c r="FH45" s="898"/>
      <c r="FI45" s="898"/>
      <c r="FJ45" s="898"/>
      <c r="FK45" s="898"/>
      <c r="FL45" s="898"/>
      <c r="FM45" s="898"/>
      <c r="FN45" s="898"/>
      <c r="FO45" s="898"/>
      <c r="FP45" s="898"/>
      <c r="FQ45" s="898"/>
      <c r="FR45" s="898"/>
      <c r="FS45" s="898"/>
      <c r="FT45" s="898"/>
      <c r="FU45" s="898"/>
      <c r="FV45" s="898"/>
      <c r="FW45" s="898"/>
      <c r="FX45" s="898"/>
      <c r="FY45" s="898"/>
      <c r="FZ45" s="898"/>
      <c r="GA45" s="898"/>
      <c r="GB45" s="898"/>
      <c r="GC45" s="898"/>
      <c r="GD45" s="898"/>
      <c r="GE45" s="898"/>
      <c r="GF45" s="898"/>
      <c r="GG45" s="898"/>
      <c r="GH45" s="898"/>
      <c r="GI45" s="898"/>
      <c r="GJ45" s="898"/>
      <c r="GK45" s="898"/>
      <c r="GL45" s="898"/>
      <c r="GM45" s="898"/>
      <c r="GN45" s="898"/>
      <c r="GO45" s="898"/>
      <c r="GP45" s="898"/>
      <c r="GQ45" s="898"/>
      <c r="GR45" s="898"/>
      <c r="GS45" s="898"/>
      <c r="GT45" s="898"/>
      <c r="GU45" s="898"/>
      <c r="GV45" s="898"/>
      <c r="GW45" s="898"/>
      <c r="GX45" s="898"/>
      <c r="GY45" s="898"/>
      <c r="GZ45" s="898"/>
      <c r="HA45" s="898"/>
      <c r="HB45" s="898"/>
      <c r="HC45" s="898"/>
      <c r="HD45" s="898"/>
      <c r="HE45" s="898"/>
      <c r="HF45" s="898"/>
      <c r="HG45" s="898"/>
      <c r="HH45" s="898"/>
      <c r="HI45" s="898"/>
      <c r="HJ45" s="898"/>
      <c r="HK45" s="898"/>
      <c r="HL45" s="898"/>
      <c r="HM45" s="898"/>
      <c r="HN45" s="898"/>
      <c r="HO45" s="898"/>
      <c r="HP45" s="898"/>
      <c r="HQ45" s="898"/>
      <c r="HR45" s="898"/>
      <c r="HS45" s="898"/>
      <c r="HT45" s="898"/>
      <c r="HU45" s="898"/>
      <c r="HV45" s="898"/>
      <c r="HW45" s="898"/>
      <c r="HX45" s="898"/>
      <c r="HY45" s="898"/>
      <c r="HZ45" s="898"/>
      <c r="IA45" s="898"/>
      <c r="IB45" s="898"/>
      <c r="IC45" s="898"/>
      <c r="ID45" s="898"/>
      <c r="IE45" s="898"/>
      <c r="IF45" s="898"/>
      <c r="IG45" s="898"/>
      <c r="IH45" s="898"/>
      <c r="II45" s="898"/>
      <c r="IJ45" s="898"/>
      <c r="IK45" s="898"/>
      <c r="IL45" s="898"/>
      <c r="IM45" s="898"/>
      <c r="IN45" s="898"/>
      <c r="IO45" s="898"/>
      <c r="IP45" s="898"/>
      <c r="IQ45" s="898"/>
      <c r="IR45" s="898"/>
      <c r="IS45" s="898"/>
      <c r="IT45" s="898"/>
      <c r="IU45" s="898"/>
      <c r="IV45" s="898"/>
    </row>
    <row r="46" spans="1:256" ht="3" customHeight="1">
      <c r="A46" s="894"/>
      <c r="B46" s="898"/>
      <c r="C46" s="898"/>
      <c r="D46" s="1444"/>
      <c r="E46" s="1444"/>
      <c r="F46" s="1444"/>
      <c r="G46" s="1444"/>
      <c r="H46" s="1444"/>
      <c r="I46" s="1444"/>
      <c r="J46" s="1444"/>
      <c r="K46" s="1444"/>
      <c r="L46" s="1444"/>
      <c r="M46" s="905"/>
      <c r="N46" s="898"/>
      <c r="O46" s="911"/>
      <c r="P46" s="911"/>
      <c r="Q46" s="898"/>
      <c r="R46" s="898"/>
      <c r="S46" s="898"/>
      <c r="T46" s="898"/>
      <c r="U46" s="898"/>
      <c r="V46" s="898"/>
      <c r="W46" s="898"/>
      <c r="X46" s="898"/>
      <c r="Y46" s="898"/>
      <c r="Z46" s="898"/>
      <c r="AA46" s="898"/>
      <c r="AB46" s="898"/>
      <c r="AC46" s="898"/>
      <c r="AD46" s="898"/>
      <c r="AE46" s="898"/>
      <c r="AF46" s="898"/>
      <c r="AG46" s="898"/>
      <c r="AH46" s="898"/>
      <c r="AI46" s="898"/>
      <c r="AJ46" s="898"/>
      <c r="AK46" s="898"/>
      <c r="AL46" s="898"/>
      <c r="AM46" s="898"/>
      <c r="AN46" s="898"/>
      <c r="AO46" s="898"/>
      <c r="AP46" s="898"/>
      <c r="AQ46" s="898"/>
      <c r="AR46" s="898"/>
      <c r="AS46" s="898"/>
      <c r="AT46" s="898"/>
      <c r="AU46" s="898"/>
      <c r="AV46" s="898"/>
      <c r="AW46" s="898"/>
      <c r="AX46" s="898"/>
      <c r="AY46" s="898"/>
      <c r="AZ46" s="898"/>
      <c r="BA46" s="898"/>
      <c r="BB46" s="898"/>
      <c r="BC46" s="898"/>
      <c r="BD46" s="898"/>
      <c r="BE46" s="898"/>
      <c r="BF46" s="898"/>
      <c r="BG46" s="898"/>
      <c r="BH46" s="898"/>
      <c r="BI46" s="898"/>
      <c r="BJ46" s="898"/>
      <c r="BK46" s="898"/>
      <c r="BL46" s="898"/>
      <c r="BM46" s="898"/>
      <c r="BN46" s="898"/>
      <c r="BO46" s="898"/>
      <c r="BP46" s="898"/>
      <c r="BQ46" s="898"/>
      <c r="BR46" s="898"/>
      <c r="BS46" s="898"/>
      <c r="BT46" s="898"/>
      <c r="BU46" s="898"/>
      <c r="BV46" s="898"/>
      <c r="BW46" s="898"/>
      <c r="BX46" s="898"/>
      <c r="BY46" s="898"/>
      <c r="BZ46" s="898"/>
      <c r="CA46" s="898"/>
      <c r="CB46" s="898"/>
      <c r="CC46" s="898"/>
      <c r="CD46" s="898"/>
      <c r="CE46" s="898"/>
      <c r="CF46" s="898"/>
      <c r="CG46" s="898"/>
      <c r="CH46" s="898"/>
      <c r="CI46" s="898"/>
      <c r="CJ46" s="898"/>
      <c r="CK46" s="898"/>
      <c r="CL46" s="898"/>
      <c r="CM46" s="898"/>
      <c r="CN46" s="898"/>
      <c r="CO46" s="898"/>
      <c r="CP46" s="898"/>
      <c r="CQ46" s="898"/>
      <c r="CR46" s="898"/>
      <c r="CS46" s="898"/>
      <c r="CT46" s="898"/>
      <c r="CU46" s="898"/>
      <c r="CV46" s="898"/>
      <c r="CW46" s="898"/>
      <c r="CX46" s="898"/>
      <c r="CY46" s="898"/>
      <c r="CZ46" s="898"/>
      <c r="DA46" s="898"/>
      <c r="DB46" s="898"/>
      <c r="DC46" s="898"/>
      <c r="DD46" s="898"/>
      <c r="DE46" s="898"/>
      <c r="DF46" s="898"/>
      <c r="DG46" s="898"/>
      <c r="DH46" s="898"/>
      <c r="DI46" s="898"/>
      <c r="DJ46" s="898"/>
      <c r="DK46" s="898"/>
      <c r="DL46" s="898"/>
      <c r="DM46" s="898"/>
      <c r="DN46" s="898"/>
      <c r="DO46" s="898"/>
      <c r="DP46" s="898"/>
      <c r="DQ46" s="898"/>
      <c r="DR46" s="898"/>
      <c r="DS46" s="898"/>
      <c r="DT46" s="898"/>
      <c r="DU46" s="898"/>
      <c r="DV46" s="898"/>
      <c r="DW46" s="898"/>
      <c r="DX46" s="898"/>
      <c r="DY46" s="898"/>
      <c r="DZ46" s="898"/>
      <c r="EA46" s="898"/>
      <c r="EB46" s="898"/>
      <c r="EC46" s="898"/>
      <c r="ED46" s="898"/>
      <c r="EE46" s="898"/>
      <c r="EF46" s="898"/>
      <c r="EG46" s="898"/>
      <c r="EH46" s="898"/>
      <c r="EI46" s="898"/>
      <c r="EJ46" s="898"/>
      <c r="EK46" s="898"/>
      <c r="EL46" s="898"/>
      <c r="EM46" s="898"/>
      <c r="EN46" s="898"/>
      <c r="EO46" s="898"/>
      <c r="EP46" s="898"/>
      <c r="EQ46" s="898"/>
      <c r="ER46" s="898"/>
      <c r="ES46" s="898"/>
      <c r="ET46" s="898"/>
      <c r="EU46" s="898"/>
      <c r="EV46" s="898"/>
      <c r="EW46" s="898"/>
      <c r="EX46" s="898"/>
      <c r="EY46" s="898"/>
      <c r="EZ46" s="898"/>
      <c r="FA46" s="898"/>
      <c r="FB46" s="898"/>
      <c r="FC46" s="898"/>
      <c r="FD46" s="898"/>
      <c r="FE46" s="898"/>
      <c r="FF46" s="898"/>
      <c r="FG46" s="898"/>
      <c r="FH46" s="898"/>
      <c r="FI46" s="898"/>
      <c r="FJ46" s="898"/>
      <c r="FK46" s="898"/>
      <c r="FL46" s="898"/>
      <c r="FM46" s="898"/>
      <c r="FN46" s="898"/>
      <c r="FO46" s="898"/>
      <c r="FP46" s="898"/>
      <c r="FQ46" s="898"/>
      <c r="FR46" s="898"/>
      <c r="FS46" s="898"/>
      <c r="FT46" s="898"/>
      <c r="FU46" s="898"/>
      <c r="FV46" s="898"/>
      <c r="FW46" s="898"/>
      <c r="FX46" s="898"/>
      <c r="FY46" s="898"/>
      <c r="FZ46" s="898"/>
      <c r="GA46" s="898"/>
      <c r="GB46" s="898"/>
      <c r="GC46" s="898"/>
      <c r="GD46" s="898"/>
      <c r="GE46" s="898"/>
      <c r="GF46" s="898"/>
      <c r="GG46" s="898"/>
      <c r="GH46" s="898"/>
      <c r="GI46" s="898"/>
      <c r="GJ46" s="898"/>
      <c r="GK46" s="898"/>
      <c r="GL46" s="898"/>
      <c r="GM46" s="898"/>
      <c r="GN46" s="898"/>
      <c r="GO46" s="898"/>
      <c r="GP46" s="898"/>
      <c r="GQ46" s="898"/>
      <c r="GR46" s="898"/>
      <c r="GS46" s="898"/>
      <c r="GT46" s="898"/>
      <c r="GU46" s="898"/>
      <c r="GV46" s="898"/>
      <c r="GW46" s="898"/>
      <c r="GX46" s="898"/>
      <c r="GY46" s="898"/>
      <c r="GZ46" s="898"/>
      <c r="HA46" s="898"/>
      <c r="HB46" s="898"/>
      <c r="HC46" s="898"/>
      <c r="HD46" s="898"/>
      <c r="HE46" s="898"/>
      <c r="HF46" s="898"/>
      <c r="HG46" s="898"/>
      <c r="HH46" s="898"/>
      <c r="HI46" s="898"/>
      <c r="HJ46" s="898"/>
      <c r="HK46" s="898"/>
      <c r="HL46" s="898"/>
      <c r="HM46" s="898"/>
      <c r="HN46" s="898"/>
      <c r="HO46" s="898"/>
      <c r="HP46" s="898"/>
      <c r="HQ46" s="898"/>
      <c r="HR46" s="898"/>
      <c r="HS46" s="898"/>
      <c r="HT46" s="898"/>
      <c r="HU46" s="898"/>
      <c r="HV46" s="898"/>
      <c r="HW46" s="898"/>
      <c r="HX46" s="898"/>
      <c r="HY46" s="898"/>
      <c r="HZ46" s="898"/>
      <c r="IA46" s="898"/>
      <c r="IB46" s="898"/>
      <c r="IC46" s="898"/>
      <c r="ID46" s="898"/>
      <c r="IE46" s="898"/>
      <c r="IF46" s="898"/>
      <c r="IG46" s="898"/>
      <c r="IH46" s="898"/>
      <c r="II46" s="898"/>
      <c r="IJ46" s="898"/>
      <c r="IK46" s="898"/>
      <c r="IL46" s="898"/>
      <c r="IM46" s="898"/>
      <c r="IN46" s="898"/>
      <c r="IO46" s="898"/>
      <c r="IP46" s="898"/>
      <c r="IQ46" s="898"/>
      <c r="IR46" s="898"/>
      <c r="IS46" s="898"/>
      <c r="IT46" s="898"/>
      <c r="IU46" s="898"/>
      <c r="IV46" s="898"/>
    </row>
    <row r="47" spans="1:256" ht="17.25" customHeight="1" thickBot="1">
      <c r="A47" s="894" t="s">
        <v>409</v>
      </c>
      <c r="B47" s="898"/>
      <c r="C47" s="916"/>
      <c r="D47" s="1445">
        <f>ROUND(D16+D23+D44,3)</f>
        <v>3012.223</v>
      </c>
      <c r="E47" s="1446"/>
      <c r="F47" s="1445">
        <f>ROUND(F16+F23+F44,3)</f>
        <v>7177.9269999999997</v>
      </c>
      <c r="G47" s="1446"/>
      <c r="H47" s="1445">
        <f>ROUND(H16+H23+H44,3)</f>
        <v>7026.5209999999997</v>
      </c>
      <c r="I47" s="1447"/>
      <c r="J47" s="1445">
        <f>ROUND(J16+J23+J44,3)</f>
        <v>9</v>
      </c>
      <c r="K47" s="1446"/>
      <c r="L47" s="1445">
        <f>ROUND(L16+L23+L44,3)</f>
        <v>3172.6289999999999</v>
      </c>
      <c r="M47" s="906"/>
      <c r="N47" s="909"/>
      <c r="O47" s="911"/>
      <c r="P47" s="911"/>
      <c r="Q47" s="898"/>
      <c r="R47" s="898"/>
      <c r="S47" s="898"/>
      <c r="T47" s="898"/>
      <c r="U47" s="898"/>
      <c r="V47" s="898"/>
      <c r="W47" s="898"/>
      <c r="X47" s="898"/>
      <c r="Y47" s="898"/>
      <c r="Z47" s="898"/>
      <c r="AA47" s="898"/>
      <c r="AB47" s="898"/>
      <c r="AC47" s="898"/>
      <c r="AD47" s="898"/>
      <c r="AE47" s="898"/>
      <c r="AF47" s="898"/>
      <c r="AG47" s="898"/>
      <c r="AH47" s="898"/>
      <c r="AI47" s="898"/>
      <c r="AJ47" s="898"/>
      <c r="AK47" s="898"/>
      <c r="AL47" s="898"/>
      <c r="AM47" s="898"/>
      <c r="AN47" s="898"/>
      <c r="AO47" s="898"/>
      <c r="AP47" s="898"/>
      <c r="AQ47" s="898"/>
      <c r="AR47" s="898"/>
      <c r="AS47" s="898"/>
      <c r="AT47" s="898"/>
      <c r="AU47" s="898"/>
      <c r="AV47" s="898"/>
      <c r="AW47" s="898"/>
      <c r="AX47" s="898"/>
      <c r="AY47" s="898"/>
      <c r="AZ47" s="898"/>
      <c r="BA47" s="898"/>
      <c r="BB47" s="898"/>
      <c r="BC47" s="898"/>
      <c r="BD47" s="898"/>
      <c r="BE47" s="898"/>
      <c r="BF47" s="898"/>
      <c r="BG47" s="898"/>
      <c r="BH47" s="898"/>
      <c r="BI47" s="898"/>
      <c r="BJ47" s="898"/>
      <c r="BK47" s="898"/>
      <c r="BL47" s="898"/>
      <c r="BM47" s="898"/>
      <c r="BN47" s="898"/>
      <c r="BO47" s="898"/>
      <c r="BP47" s="898"/>
      <c r="BQ47" s="898"/>
      <c r="BR47" s="898"/>
      <c r="BS47" s="898"/>
      <c r="BT47" s="898"/>
      <c r="BU47" s="898"/>
      <c r="BV47" s="898"/>
      <c r="BW47" s="898"/>
      <c r="BX47" s="898"/>
      <c r="BY47" s="898"/>
      <c r="BZ47" s="898"/>
      <c r="CA47" s="898"/>
      <c r="CB47" s="898"/>
      <c r="CC47" s="898"/>
      <c r="CD47" s="898"/>
      <c r="CE47" s="898"/>
      <c r="CF47" s="898"/>
      <c r="CG47" s="898"/>
      <c r="CH47" s="898"/>
      <c r="CI47" s="898"/>
      <c r="CJ47" s="898"/>
      <c r="CK47" s="898"/>
      <c r="CL47" s="898"/>
      <c r="CM47" s="898"/>
      <c r="CN47" s="898"/>
      <c r="CO47" s="898"/>
      <c r="CP47" s="898"/>
      <c r="CQ47" s="898"/>
      <c r="CR47" s="898"/>
      <c r="CS47" s="898"/>
      <c r="CT47" s="898"/>
      <c r="CU47" s="898"/>
      <c r="CV47" s="898"/>
      <c r="CW47" s="898"/>
      <c r="CX47" s="898"/>
      <c r="CY47" s="898"/>
      <c r="CZ47" s="898"/>
      <c r="DA47" s="898"/>
      <c r="DB47" s="898"/>
      <c r="DC47" s="898"/>
      <c r="DD47" s="898"/>
      <c r="DE47" s="898"/>
      <c r="DF47" s="898"/>
      <c r="DG47" s="898"/>
      <c r="DH47" s="898"/>
      <c r="DI47" s="898"/>
      <c r="DJ47" s="898"/>
      <c r="DK47" s="898"/>
      <c r="DL47" s="898"/>
      <c r="DM47" s="898"/>
      <c r="DN47" s="898"/>
      <c r="DO47" s="898"/>
      <c r="DP47" s="898"/>
      <c r="DQ47" s="898"/>
      <c r="DR47" s="898"/>
      <c r="DS47" s="898"/>
      <c r="DT47" s="898"/>
      <c r="DU47" s="898"/>
      <c r="DV47" s="898"/>
      <c r="DW47" s="898"/>
      <c r="DX47" s="898"/>
      <c r="DY47" s="898"/>
      <c r="DZ47" s="898"/>
      <c r="EA47" s="898"/>
      <c r="EB47" s="898"/>
      <c r="EC47" s="898"/>
      <c r="ED47" s="898"/>
      <c r="EE47" s="898"/>
      <c r="EF47" s="898"/>
      <c r="EG47" s="898"/>
      <c r="EH47" s="898"/>
      <c r="EI47" s="898"/>
      <c r="EJ47" s="898"/>
      <c r="EK47" s="898"/>
      <c r="EL47" s="898"/>
      <c r="EM47" s="898"/>
      <c r="EN47" s="898"/>
      <c r="EO47" s="898"/>
      <c r="EP47" s="898"/>
      <c r="EQ47" s="898"/>
      <c r="ER47" s="898"/>
      <c r="ES47" s="898"/>
      <c r="ET47" s="898"/>
      <c r="EU47" s="898"/>
      <c r="EV47" s="898"/>
      <c r="EW47" s="898"/>
      <c r="EX47" s="898"/>
      <c r="EY47" s="898"/>
      <c r="EZ47" s="898"/>
      <c r="FA47" s="898"/>
      <c r="FB47" s="898"/>
      <c r="FC47" s="898"/>
      <c r="FD47" s="898"/>
      <c r="FE47" s="898"/>
      <c r="FF47" s="898"/>
      <c r="FG47" s="898"/>
      <c r="FH47" s="898"/>
      <c r="FI47" s="898"/>
      <c r="FJ47" s="898"/>
      <c r="FK47" s="898"/>
      <c r="FL47" s="898"/>
      <c r="FM47" s="898"/>
      <c r="FN47" s="898"/>
      <c r="FO47" s="898"/>
      <c r="FP47" s="898"/>
      <c r="FQ47" s="898"/>
      <c r="FR47" s="898"/>
      <c r="FS47" s="898"/>
      <c r="FT47" s="898"/>
      <c r="FU47" s="898"/>
      <c r="FV47" s="898"/>
      <c r="FW47" s="898"/>
      <c r="FX47" s="898"/>
      <c r="FY47" s="898"/>
      <c r="FZ47" s="898"/>
      <c r="GA47" s="898"/>
      <c r="GB47" s="898"/>
      <c r="GC47" s="898"/>
      <c r="GD47" s="898"/>
      <c r="GE47" s="898"/>
      <c r="GF47" s="898"/>
      <c r="GG47" s="898"/>
      <c r="GH47" s="898"/>
      <c r="GI47" s="898"/>
      <c r="GJ47" s="898"/>
      <c r="GK47" s="898"/>
      <c r="GL47" s="898"/>
      <c r="GM47" s="898"/>
      <c r="GN47" s="898"/>
      <c r="GO47" s="898"/>
      <c r="GP47" s="898"/>
      <c r="GQ47" s="898"/>
      <c r="GR47" s="898"/>
      <c r="GS47" s="898"/>
      <c r="GT47" s="898"/>
      <c r="GU47" s="898"/>
      <c r="GV47" s="898"/>
      <c r="GW47" s="898"/>
      <c r="GX47" s="898"/>
      <c r="GY47" s="898"/>
      <c r="GZ47" s="898"/>
      <c r="HA47" s="898"/>
      <c r="HB47" s="898"/>
      <c r="HC47" s="898"/>
      <c r="HD47" s="898"/>
      <c r="HE47" s="898"/>
      <c r="HF47" s="898"/>
      <c r="HG47" s="898"/>
      <c r="HH47" s="898"/>
      <c r="HI47" s="898"/>
      <c r="HJ47" s="898"/>
      <c r="HK47" s="898"/>
      <c r="HL47" s="898"/>
      <c r="HM47" s="898"/>
      <c r="HN47" s="898"/>
      <c r="HO47" s="898"/>
      <c r="HP47" s="898"/>
      <c r="HQ47" s="898"/>
      <c r="HR47" s="898"/>
      <c r="HS47" s="898"/>
      <c r="HT47" s="898"/>
      <c r="HU47" s="898"/>
      <c r="HV47" s="898"/>
      <c r="HW47" s="898"/>
      <c r="HX47" s="898"/>
      <c r="HY47" s="898"/>
      <c r="HZ47" s="898"/>
      <c r="IA47" s="898"/>
      <c r="IB47" s="898"/>
      <c r="IC47" s="898"/>
      <c r="ID47" s="898"/>
      <c r="IE47" s="898"/>
      <c r="IF47" s="898"/>
      <c r="IG47" s="898"/>
      <c r="IH47" s="898"/>
      <c r="II47" s="898"/>
      <c r="IJ47" s="898"/>
      <c r="IK47" s="898"/>
      <c r="IL47" s="898"/>
      <c r="IM47" s="898"/>
      <c r="IN47" s="898"/>
      <c r="IO47" s="898"/>
      <c r="IP47" s="898"/>
      <c r="IQ47" s="898"/>
      <c r="IR47" s="898"/>
      <c r="IS47" s="898"/>
      <c r="IT47" s="898"/>
      <c r="IU47" s="898"/>
      <c r="IV47" s="898"/>
    </row>
    <row r="48" spans="1:256" ht="12" customHeight="1" thickTop="1">
      <c r="A48" s="898"/>
      <c r="B48" s="898"/>
      <c r="C48" s="898"/>
      <c r="D48" s="1448" t="s">
        <v>16</v>
      </c>
      <c r="E48" s="1421"/>
      <c r="F48" s="1448" t="s">
        <v>16</v>
      </c>
      <c r="G48" s="1421"/>
      <c r="H48" s="1448" t="s">
        <v>16</v>
      </c>
      <c r="I48" s="1421"/>
      <c r="J48" s="1415" t="s">
        <v>16</v>
      </c>
      <c r="K48" s="1421"/>
      <c r="L48" s="1448" t="s">
        <v>16</v>
      </c>
      <c r="M48" s="905"/>
      <c r="N48" s="898"/>
      <c r="O48" s="911"/>
      <c r="P48" s="911"/>
      <c r="Q48" s="898"/>
      <c r="R48" s="898"/>
      <c r="S48" s="898"/>
      <c r="T48" s="898"/>
      <c r="U48" s="898"/>
      <c r="V48" s="898"/>
      <c r="W48" s="898"/>
      <c r="X48" s="898"/>
      <c r="Y48" s="898"/>
      <c r="Z48" s="898"/>
      <c r="AA48" s="898"/>
      <c r="AB48" s="898"/>
      <c r="AC48" s="898"/>
      <c r="AD48" s="898"/>
      <c r="AE48" s="898"/>
      <c r="AF48" s="898"/>
      <c r="AG48" s="898"/>
      <c r="AH48" s="898"/>
      <c r="AI48" s="898"/>
      <c r="AJ48" s="898"/>
      <c r="AK48" s="898"/>
      <c r="AL48" s="898"/>
      <c r="AM48" s="898"/>
      <c r="AN48" s="898"/>
      <c r="AO48" s="898"/>
      <c r="AP48" s="898"/>
      <c r="AQ48" s="898"/>
      <c r="AR48" s="898"/>
      <c r="AS48" s="898"/>
      <c r="AT48" s="898"/>
      <c r="AU48" s="898"/>
      <c r="AV48" s="898"/>
      <c r="AW48" s="898"/>
      <c r="AX48" s="898"/>
      <c r="AY48" s="898"/>
      <c r="AZ48" s="898"/>
      <c r="BA48" s="898"/>
      <c r="BB48" s="898"/>
      <c r="BC48" s="898"/>
      <c r="BD48" s="898"/>
      <c r="BE48" s="898"/>
      <c r="BF48" s="898"/>
      <c r="BG48" s="898"/>
      <c r="BH48" s="898"/>
      <c r="BI48" s="898"/>
      <c r="BJ48" s="898"/>
      <c r="BK48" s="898"/>
      <c r="BL48" s="898"/>
      <c r="BM48" s="898"/>
      <c r="BN48" s="898"/>
      <c r="BO48" s="898"/>
      <c r="BP48" s="898"/>
      <c r="BQ48" s="898"/>
      <c r="BR48" s="898"/>
      <c r="BS48" s="898"/>
      <c r="BT48" s="898"/>
      <c r="BU48" s="898"/>
      <c r="BV48" s="898"/>
      <c r="BW48" s="898"/>
      <c r="BX48" s="898"/>
      <c r="BY48" s="898"/>
      <c r="BZ48" s="898"/>
      <c r="CA48" s="898"/>
      <c r="CB48" s="898"/>
      <c r="CC48" s="898"/>
      <c r="CD48" s="898"/>
      <c r="CE48" s="898"/>
      <c r="CF48" s="898"/>
      <c r="CG48" s="898"/>
      <c r="CH48" s="898"/>
      <c r="CI48" s="898"/>
      <c r="CJ48" s="898"/>
      <c r="CK48" s="898"/>
      <c r="CL48" s="898"/>
      <c r="CM48" s="898"/>
      <c r="CN48" s="898"/>
      <c r="CO48" s="898"/>
      <c r="CP48" s="898"/>
      <c r="CQ48" s="898"/>
      <c r="CR48" s="898"/>
      <c r="CS48" s="898"/>
      <c r="CT48" s="898"/>
      <c r="CU48" s="898"/>
      <c r="CV48" s="898"/>
      <c r="CW48" s="898"/>
      <c r="CX48" s="898"/>
      <c r="CY48" s="898"/>
      <c r="CZ48" s="898"/>
      <c r="DA48" s="898"/>
      <c r="DB48" s="898"/>
      <c r="DC48" s="898"/>
      <c r="DD48" s="898"/>
      <c r="DE48" s="898"/>
      <c r="DF48" s="898"/>
      <c r="DG48" s="898"/>
      <c r="DH48" s="898"/>
      <c r="DI48" s="898"/>
      <c r="DJ48" s="898"/>
      <c r="DK48" s="898"/>
      <c r="DL48" s="898"/>
      <c r="DM48" s="898"/>
      <c r="DN48" s="898"/>
      <c r="DO48" s="898"/>
      <c r="DP48" s="898"/>
      <c r="DQ48" s="898"/>
      <c r="DR48" s="898"/>
      <c r="DS48" s="898"/>
      <c r="DT48" s="898"/>
      <c r="DU48" s="898"/>
      <c r="DV48" s="898"/>
      <c r="DW48" s="898"/>
      <c r="DX48" s="898"/>
      <c r="DY48" s="898"/>
      <c r="DZ48" s="898"/>
      <c r="EA48" s="898"/>
      <c r="EB48" s="898"/>
      <c r="EC48" s="898"/>
      <c r="ED48" s="898"/>
      <c r="EE48" s="898"/>
      <c r="EF48" s="898"/>
      <c r="EG48" s="898"/>
      <c r="EH48" s="898"/>
      <c r="EI48" s="898"/>
      <c r="EJ48" s="898"/>
      <c r="EK48" s="898"/>
      <c r="EL48" s="898"/>
      <c r="EM48" s="898"/>
      <c r="EN48" s="898"/>
      <c r="EO48" s="898"/>
      <c r="EP48" s="898"/>
      <c r="EQ48" s="898"/>
      <c r="ER48" s="898"/>
      <c r="ES48" s="898"/>
      <c r="ET48" s="898"/>
      <c r="EU48" s="898"/>
      <c r="EV48" s="898"/>
      <c r="EW48" s="898"/>
      <c r="EX48" s="898"/>
      <c r="EY48" s="898"/>
      <c r="EZ48" s="898"/>
      <c r="FA48" s="898"/>
      <c r="FB48" s="898"/>
      <c r="FC48" s="898"/>
      <c r="FD48" s="898"/>
      <c r="FE48" s="898"/>
      <c r="FF48" s="898"/>
      <c r="FG48" s="898"/>
      <c r="FH48" s="898"/>
      <c r="FI48" s="898"/>
      <c r="FJ48" s="898"/>
      <c r="FK48" s="898"/>
      <c r="FL48" s="898"/>
      <c r="FM48" s="898"/>
      <c r="FN48" s="898"/>
      <c r="FO48" s="898"/>
      <c r="FP48" s="898"/>
      <c r="FQ48" s="898"/>
      <c r="FR48" s="898"/>
      <c r="FS48" s="898"/>
      <c r="FT48" s="898"/>
      <c r="FU48" s="898"/>
      <c r="FV48" s="898"/>
      <c r="FW48" s="898"/>
      <c r="FX48" s="898"/>
      <c r="FY48" s="898"/>
      <c r="FZ48" s="898"/>
      <c r="GA48" s="898"/>
      <c r="GB48" s="898"/>
      <c r="GC48" s="898"/>
      <c r="GD48" s="898"/>
      <c r="GE48" s="898"/>
      <c r="GF48" s="898"/>
      <c r="GG48" s="898"/>
      <c r="GH48" s="898"/>
      <c r="GI48" s="898"/>
      <c r="GJ48" s="898"/>
      <c r="GK48" s="898"/>
      <c r="GL48" s="898"/>
      <c r="GM48" s="898"/>
      <c r="GN48" s="898"/>
      <c r="GO48" s="898"/>
      <c r="GP48" s="898"/>
      <c r="GQ48" s="898"/>
      <c r="GR48" s="898"/>
      <c r="GS48" s="898"/>
      <c r="GT48" s="898"/>
      <c r="GU48" s="898"/>
      <c r="GV48" s="898"/>
      <c r="GW48" s="898"/>
      <c r="GX48" s="898"/>
      <c r="GY48" s="898"/>
      <c r="GZ48" s="898"/>
      <c r="HA48" s="898"/>
      <c r="HB48" s="898"/>
      <c r="HC48" s="898"/>
      <c r="HD48" s="898"/>
      <c r="HE48" s="898"/>
      <c r="HF48" s="898"/>
      <c r="HG48" s="898"/>
      <c r="HH48" s="898"/>
      <c r="HI48" s="898"/>
      <c r="HJ48" s="898"/>
      <c r="HK48" s="898"/>
      <c r="HL48" s="898"/>
      <c r="HM48" s="898"/>
      <c r="HN48" s="898"/>
      <c r="HO48" s="898"/>
      <c r="HP48" s="898"/>
      <c r="HQ48" s="898"/>
      <c r="HR48" s="898"/>
      <c r="HS48" s="898"/>
      <c r="HT48" s="898"/>
      <c r="HU48" s="898"/>
      <c r="HV48" s="898"/>
      <c r="HW48" s="898"/>
      <c r="HX48" s="898"/>
      <c r="HY48" s="898"/>
      <c r="HZ48" s="898"/>
      <c r="IA48" s="898"/>
      <c r="IB48" s="898"/>
      <c r="IC48" s="898"/>
      <c r="ID48" s="898"/>
      <c r="IE48" s="898"/>
      <c r="IF48" s="898"/>
      <c r="IG48" s="898"/>
      <c r="IH48" s="898"/>
      <c r="II48" s="898"/>
      <c r="IJ48" s="898"/>
      <c r="IK48" s="898"/>
      <c r="IL48" s="898"/>
      <c r="IM48" s="898"/>
      <c r="IN48" s="898"/>
      <c r="IO48" s="898"/>
      <c r="IP48" s="898"/>
      <c r="IQ48" s="898"/>
      <c r="IR48" s="898"/>
      <c r="IS48" s="898"/>
      <c r="IT48" s="898"/>
      <c r="IU48" s="898"/>
      <c r="IV48" s="898"/>
    </row>
    <row r="49" spans="1:256" ht="15.75" customHeight="1">
      <c r="A49" s="1449"/>
      <c r="B49" s="898"/>
      <c r="C49" s="898"/>
      <c r="D49" s="898"/>
      <c r="E49" s="898"/>
      <c r="F49" s="898"/>
      <c r="G49" s="898"/>
      <c r="H49" s="898"/>
      <c r="I49" s="898"/>
      <c r="J49" s="898"/>
      <c r="K49" s="898"/>
      <c r="L49" s="898"/>
      <c r="M49" s="898"/>
      <c r="N49" s="898"/>
      <c r="O49" s="911"/>
      <c r="P49" s="911"/>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8"/>
      <c r="AO49" s="898"/>
      <c r="AP49" s="898"/>
      <c r="AQ49" s="898"/>
      <c r="AR49" s="898"/>
      <c r="AS49" s="898"/>
      <c r="AT49" s="898"/>
      <c r="AU49" s="898"/>
      <c r="AV49" s="898"/>
      <c r="AW49" s="898"/>
      <c r="AX49" s="898"/>
      <c r="AY49" s="898"/>
      <c r="AZ49" s="898"/>
      <c r="BA49" s="898"/>
      <c r="BB49" s="898"/>
      <c r="BC49" s="898"/>
      <c r="BD49" s="898"/>
      <c r="BE49" s="898"/>
      <c r="BF49" s="898"/>
      <c r="BG49" s="898"/>
      <c r="BH49" s="898"/>
      <c r="BI49" s="898"/>
      <c r="BJ49" s="898"/>
      <c r="BK49" s="898"/>
      <c r="BL49" s="898"/>
      <c r="BM49" s="898"/>
      <c r="BN49" s="898"/>
      <c r="BO49" s="898"/>
      <c r="BP49" s="898"/>
      <c r="BQ49" s="898"/>
      <c r="BR49" s="898"/>
      <c r="BS49" s="898"/>
      <c r="BT49" s="898"/>
      <c r="BU49" s="898"/>
      <c r="BV49" s="898"/>
      <c r="BW49" s="898"/>
      <c r="BX49" s="898"/>
      <c r="BY49" s="898"/>
      <c r="BZ49" s="898"/>
      <c r="CA49" s="898"/>
      <c r="CB49" s="898"/>
      <c r="CC49" s="898"/>
      <c r="CD49" s="898"/>
      <c r="CE49" s="898"/>
      <c r="CF49" s="898"/>
      <c r="CG49" s="898"/>
      <c r="CH49" s="898"/>
      <c r="CI49" s="898"/>
      <c r="CJ49" s="898"/>
      <c r="CK49" s="898"/>
      <c r="CL49" s="898"/>
      <c r="CM49" s="898"/>
      <c r="CN49" s="898"/>
      <c r="CO49" s="898"/>
      <c r="CP49" s="898"/>
      <c r="CQ49" s="898"/>
      <c r="CR49" s="898"/>
      <c r="CS49" s="898"/>
      <c r="CT49" s="898"/>
      <c r="CU49" s="898"/>
      <c r="CV49" s="898"/>
      <c r="CW49" s="898"/>
      <c r="CX49" s="898"/>
      <c r="CY49" s="898"/>
      <c r="CZ49" s="898"/>
      <c r="DA49" s="898"/>
      <c r="DB49" s="898"/>
      <c r="DC49" s="898"/>
      <c r="DD49" s="898"/>
      <c r="DE49" s="898"/>
      <c r="DF49" s="898"/>
      <c r="DG49" s="898"/>
      <c r="DH49" s="898"/>
      <c r="DI49" s="898"/>
      <c r="DJ49" s="898"/>
      <c r="DK49" s="898"/>
      <c r="DL49" s="898"/>
      <c r="DM49" s="898"/>
      <c r="DN49" s="898"/>
      <c r="DO49" s="898"/>
      <c r="DP49" s="898"/>
      <c r="DQ49" s="898"/>
      <c r="DR49" s="898"/>
      <c r="DS49" s="898"/>
      <c r="DT49" s="898"/>
      <c r="DU49" s="898"/>
      <c r="DV49" s="898"/>
      <c r="DW49" s="898"/>
      <c r="DX49" s="898"/>
      <c r="DY49" s="898"/>
      <c r="DZ49" s="898"/>
      <c r="EA49" s="898"/>
      <c r="EB49" s="898"/>
      <c r="EC49" s="898"/>
      <c r="ED49" s="898"/>
      <c r="EE49" s="898"/>
      <c r="EF49" s="898"/>
      <c r="EG49" s="898"/>
      <c r="EH49" s="898"/>
      <c r="EI49" s="898"/>
      <c r="EJ49" s="898"/>
      <c r="EK49" s="898"/>
      <c r="EL49" s="898"/>
      <c r="EM49" s="898"/>
      <c r="EN49" s="898"/>
      <c r="EO49" s="898"/>
      <c r="EP49" s="898"/>
      <c r="EQ49" s="898"/>
      <c r="ER49" s="898"/>
      <c r="ES49" s="898"/>
      <c r="ET49" s="898"/>
      <c r="EU49" s="898"/>
      <c r="EV49" s="898"/>
      <c r="EW49" s="898"/>
      <c r="EX49" s="898"/>
      <c r="EY49" s="898"/>
      <c r="EZ49" s="898"/>
      <c r="FA49" s="898"/>
      <c r="FB49" s="898"/>
      <c r="FC49" s="898"/>
      <c r="FD49" s="898"/>
      <c r="FE49" s="898"/>
      <c r="FF49" s="898"/>
      <c r="FG49" s="898"/>
      <c r="FH49" s="898"/>
      <c r="FI49" s="898"/>
      <c r="FJ49" s="898"/>
      <c r="FK49" s="898"/>
      <c r="FL49" s="898"/>
      <c r="FM49" s="898"/>
      <c r="FN49" s="898"/>
      <c r="FO49" s="898"/>
      <c r="FP49" s="898"/>
      <c r="FQ49" s="898"/>
      <c r="FR49" s="898"/>
      <c r="FS49" s="898"/>
      <c r="FT49" s="898"/>
      <c r="FU49" s="898"/>
      <c r="FV49" s="898"/>
      <c r="FW49" s="898"/>
      <c r="FX49" s="898"/>
      <c r="FY49" s="898"/>
      <c r="FZ49" s="898"/>
      <c r="GA49" s="898"/>
      <c r="GB49" s="898"/>
      <c r="GC49" s="898"/>
      <c r="GD49" s="898"/>
      <c r="GE49" s="898"/>
      <c r="GF49" s="898"/>
      <c r="GG49" s="898"/>
      <c r="GH49" s="898"/>
      <c r="GI49" s="898"/>
      <c r="GJ49" s="898"/>
      <c r="GK49" s="898"/>
      <c r="GL49" s="898"/>
      <c r="GM49" s="898"/>
      <c r="GN49" s="898"/>
      <c r="GO49" s="898"/>
      <c r="GP49" s="898"/>
      <c r="GQ49" s="898"/>
      <c r="GR49" s="898"/>
      <c r="GS49" s="898"/>
      <c r="GT49" s="898"/>
      <c r="GU49" s="898"/>
      <c r="GV49" s="898"/>
      <c r="GW49" s="898"/>
      <c r="GX49" s="898"/>
      <c r="GY49" s="898"/>
      <c r="GZ49" s="898"/>
      <c r="HA49" s="898"/>
      <c r="HB49" s="898"/>
      <c r="HC49" s="898"/>
      <c r="HD49" s="898"/>
      <c r="HE49" s="898"/>
      <c r="HF49" s="898"/>
      <c r="HG49" s="898"/>
      <c r="HH49" s="898"/>
      <c r="HI49" s="898"/>
      <c r="HJ49" s="898"/>
      <c r="HK49" s="898"/>
      <c r="HL49" s="898"/>
      <c r="HM49" s="898"/>
      <c r="HN49" s="898"/>
      <c r="HO49" s="898"/>
      <c r="HP49" s="898"/>
      <c r="HQ49" s="898"/>
      <c r="HR49" s="898"/>
      <c r="HS49" s="898"/>
      <c r="HT49" s="898"/>
      <c r="HU49" s="898"/>
      <c r="HV49" s="898"/>
      <c r="HW49" s="898"/>
      <c r="HX49" s="898"/>
      <c r="HY49" s="898"/>
      <c r="HZ49" s="898"/>
      <c r="IA49" s="898"/>
      <c r="IB49" s="898"/>
      <c r="IC49" s="898"/>
      <c r="ID49" s="898"/>
      <c r="IE49" s="898"/>
      <c r="IF49" s="898"/>
      <c r="IG49" s="898"/>
      <c r="IH49" s="898"/>
      <c r="II49" s="898"/>
      <c r="IJ49" s="898"/>
      <c r="IK49" s="898"/>
      <c r="IL49" s="898"/>
      <c r="IM49" s="898"/>
      <c r="IN49" s="898"/>
      <c r="IO49" s="898"/>
      <c r="IP49" s="898"/>
      <c r="IQ49" s="898"/>
      <c r="IR49" s="898"/>
      <c r="IS49" s="898"/>
      <c r="IT49" s="898"/>
      <c r="IU49" s="898"/>
      <c r="IV49" s="898"/>
    </row>
    <row r="50" spans="1:256" ht="18">
      <c r="A50" s="898"/>
      <c r="B50" s="898"/>
      <c r="C50" s="898" t="s">
        <v>16</v>
      </c>
      <c r="D50" s="909"/>
      <c r="E50" s="898"/>
      <c r="F50" s="898"/>
      <c r="G50" s="898"/>
      <c r="H50" s="898" t="s">
        <v>16</v>
      </c>
      <c r="I50" s="898"/>
      <c r="J50" s="898"/>
      <c r="K50" s="898"/>
      <c r="L50" s="912"/>
      <c r="M50" s="898"/>
      <c r="N50" s="898"/>
      <c r="O50" s="911"/>
      <c r="P50" s="911"/>
      <c r="Q50" s="898"/>
      <c r="R50" s="898"/>
      <c r="S50" s="898"/>
      <c r="T50" s="898"/>
      <c r="U50" s="898"/>
      <c r="V50" s="898"/>
      <c r="W50" s="898"/>
      <c r="X50" s="898"/>
      <c r="Y50" s="898"/>
      <c r="Z50" s="898"/>
      <c r="AA50" s="898"/>
      <c r="AB50" s="898"/>
      <c r="AC50" s="898"/>
      <c r="AD50" s="898"/>
      <c r="AE50" s="898"/>
      <c r="AF50" s="898"/>
      <c r="AG50" s="898"/>
      <c r="AH50" s="898"/>
      <c r="AI50" s="898"/>
      <c r="AJ50" s="898"/>
      <c r="AK50" s="898"/>
      <c r="AL50" s="898"/>
      <c r="AM50" s="898"/>
      <c r="AN50" s="898"/>
      <c r="AO50" s="898"/>
      <c r="AP50" s="898"/>
      <c r="AQ50" s="898"/>
      <c r="AR50" s="898"/>
      <c r="AS50" s="898"/>
      <c r="AT50" s="898"/>
      <c r="AU50" s="898"/>
      <c r="AV50" s="898"/>
      <c r="AW50" s="898"/>
      <c r="AX50" s="898"/>
      <c r="AY50" s="898"/>
      <c r="AZ50" s="898"/>
      <c r="BA50" s="898"/>
      <c r="BB50" s="898"/>
      <c r="BC50" s="898"/>
      <c r="BD50" s="898"/>
      <c r="BE50" s="898"/>
      <c r="BF50" s="898"/>
      <c r="BG50" s="898"/>
      <c r="BH50" s="898"/>
      <c r="BI50" s="898"/>
      <c r="BJ50" s="898"/>
      <c r="BK50" s="898"/>
      <c r="BL50" s="898"/>
      <c r="BM50" s="898"/>
      <c r="BN50" s="898"/>
      <c r="BO50" s="898"/>
      <c r="BP50" s="898"/>
      <c r="BQ50" s="898"/>
      <c r="BR50" s="898"/>
      <c r="BS50" s="898"/>
      <c r="BT50" s="898"/>
      <c r="BU50" s="898"/>
      <c r="BV50" s="898"/>
      <c r="BW50" s="898"/>
      <c r="BX50" s="898"/>
      <c r="BY50" s="898"/>
      <c r="BZ50" s="898"/>
      <c r="CA50" s="898"/>
      <c r="CB50" s="898"/>
      <c r="CC50" s="898"/>
      <c r="CD50" s="898"/>
      <c r="CE50" s="898"/>
      <c r="CF50" s="898"/>
      <c r="CG50" s="898"/>
      <c r="CH50" s="898"/>
      <c r="CI50" s="898"/>
      <c r="CJ50" s="898"/>
      <c r="CK50" s="898"/>
      <c r="CL50" s="898"/>
      <c r="CM50" s="898"/>
      <c r="CN50" s="898"/>
      <c r="CO50" s="898"/>
      <c r="CP50" s="898"/>
      <c r="CQ50" s="898"/>
      <c r="CR50" s="898"/>
      <c r="CS50" s="898"/>
      <c r="CT50" s="898"/>
      <c r="CU50" s="898"/>
      <c r="CV50" s="898"/>
      <c r="CW50" s="898"/>
      <c r="CX50" s="898"/>
      <c r="CY50" s="898"/>
      <c r="CZ50" s="898"/>
      <c r="DA50" s="898"/>
      <c r="DB50" s="898"/>
      <c r="DC50" s="898"/>
      <c r="DD50" s="898"/>
      <c r="DE50" s="898"/>
      <c r="DF50" s="898"/>
      <c r="DG50" s="898"/>
      <c r="DH50" s="898"/>
      <c r="DI50" s="898"/>
      <c r="DJ50" s="898"/>
      <c r="DK50" s="898"/>
      <c r="DL50" s="898"/>
      <c r="DM50" s="898"/>
      <c r="DN50" s="898"/>
      <c r="DO50" s="898"/>
      <c r="DP50" s="898"/>
      <c r="DQ50" s="898"/>
      <c r="DR50" s="898"/>
      <c r="DS50" s="898"/>
      <c r="DT50" s="898"/>
      <c r="DU50" s="898"/>
      <c r="DV50" s="898"/>
      <c r="DW50" s="898"/>
      <c r="DX50" s="898"/>
      <c r="DY50" s="898"/>
      <c r="DZ50" s="898"/>
      <c r="EA50" s="898"/>
      <c r="EB50" s="898"/>
      <c r="EC50" s="898"/>
      <c r="ED50" s="898"/>
      <c r="EE50" s="898"/>
      <c r="EF50" s="898"/>
      <c r="EG50" s="898"/>
      <c r="EH50" s="898"/>
      <c r="EI50" s="898"/>
      <c r="EJ50" s="898"/>
      <c r="EK50" s="898"/>
      <c r="EL50" s="898"/>
      <c r="EM50" s="898"/>
      <c r="EN50" s="898"/>
      <c r="EO50" s="898"/>
      <c r="EP50" s="898"/>
      <c r="EQ50" s="898"/>
      <c r="ER50" s="898"/>
      <c r="ES50" s="898"/>
      <c r="ET50" s="898"/>
      <c r="EU50" s="898"/>
      <c r="EV50" s="898"/>
      <c r="EW50" s="898"/>
      <c r="EX50" s="898"/>
      <c r="EY50" s="898"/>
      <c r="EZ50" s="898"/>
      <c r="FA50" s="898"/>
      <c r="FB50" s="898"/>
      <c r="FC50" s="898"/>
      <c r="FD50" s="898"/>
      <c r="FE50" s="898"/>
      <c r="FF50" s="898"/>
      <c r="FG50" s="898"/>
      <c r="FH50" s="898"/>
      <c r="FI50" s="898"/>
      <c r="FJ50" s="898"/>
      <c r="FK50" s="898"/>
      <c r="FL50" s="898"/>
      <c r="FM50" s="898"/>
      <c r="FN50" s="898"/>
      <c r="FO50" s="898"/>
      <c r="FP50" s="898"/>
      <c r="FQ50" s="898"/>
      <c r="FR50" s="898"/>
      <c r="FS50" s="898"/>
      <c r="FT50" s="898"/>
      <c r="FU50" s="898"/>
      <c r="FV50" s="898"/>
      <c r="FW50" s="898"/>
      <c r="FX50" s="898"/>
      <c r="FY50" s="898"/>
      <c r="FZ50" s="898"/>
      <c r="GA50" s="898"/>
      <c r="GB50" s="898"/>
      <c r="GC50" s="898"/>
      <c r="GD50" s="898"/>
      <c r="GE50" s="898"/>
      <c r="GF50" s="898"/>
      <c r="GG50" s="898"/>
      <c r="GH50" s="898"/>
      <c r="GI50" s="898"/>
      <c r="GJ50" s="898"/>
      <c r="GK50" s="898"/>
      <c r="GL50" s="898"/>
      <c r="GM50" s="898"/>
      <c r="GN50" s="898"/>
      <c r="GO50" s="898"/>
      <c r="GP50" s="898"/>
      <c r="GQ50" s="898"/>
      <c r="GR50" s="898"/>
      <c r="GS50" s="898"/>
      <c r="GT50" s="898"/>
      <c r="GU50" s="898"/>
      <c r="GV50" s="898"/>
      <c r="GW50" s="898"/>
      <c r="GX50" s="898"/>
      <c r="GY50" s="898"/>
      <c r="GZ50" s="898"/>
      <c r="HA50" s="898"/>
      <c r="HB50" s="898"/>
      <c r="HC50" s="898"/>
      <c r="HD50" s="898"/>
      <c r="HE50" s="898"/>
      <c r="HF50" s="898"/>
      <c r="HG50" s="898"/>
      <c r="HH50" s="898"/>
      <c r="HI50" s="898"/>
      <c r="HJ50" s="898"/>
      <c r="HK50" s="898"/>
      <c r="HL50" s="898"/>
      <c r="HM50" s="898"/>
      <c r="HN50" s="898"/>
      <c r="HO50" s="898"/>
      <c r="HP50" s="898"/>
      <c r="HQ50" s="898"/>
      <c r="HR50" s="898"/>
      <c r="HS50" s="898"/>
      <c r="HT50" s="898"/>
      <c r="HU50" s="898"/>
      <c r="HV50" s="898"/>
      <c r="HW50" s="898"/>
      <c r="HX50" s="898"/>
      <c r="HY50" s="898"/>
      <c r="HZ50" s="898"/>
      <c r="IA50" s="898"/>
      <c r="IB50" s="898"/>
      <c r="IC50" s="898"/>
      <c r="ID50" s="898"/>
      <c r="IE50" s="898"/>
      <c r="IF50" s="898"/>
      <c r="IG50" s="898"/>
      <c r="IH50" s="898"/>
      <c r="II50" s="898"/>
      <c r="IJ50" s="898"/>
      <c r="IK50" s="898"/>
      <c r="IL50" s="898"/>
      <c r="IM50" s="898"/>
      <c r="IN50" s="898"/>
      <c r="IO50" s="898"/>
      <c r="IP50" s="898"/>
      <c r="IQ50" s="898"/>
      <c r="IR50" s="898"/>
      <c r="IS50" s="898"/>
      <c r="IT50" s="898"/>
      <c r="IU50" s="898"/>
      <c r="IV50" s="898"/>
    </row>
    <row r="51" spans="1:256" ht="18">
      <c r="A51" s="909"/>
      <c r="B51" s="898"/>
      <c r="C51" s="898"/>
      <c r="D51" s="898"/>
      <c r="E51" s="898"/>
      <c r="F51" s="898"/>
      <c r="G51" s="898"/>
      <c r="H51" s="898"/>
      <c r="I51" s="898"/>
      <c r="J51" s="898"/>
      <c r="K51" s="898"/>
      <c r="L51" s="898"/>
      <c r="M51" s="898"/>
      <c r="N51" s="898"/>
      <c r="O51" s="911"/>
      <c r="P51" s="911"/>
      <c r="Q51" s="898"/>
      <c r="R51" s="898"/>
      <c r="S51" s="898"/>
      <c r="T51" s="898"/>
      <c r="U51" s="898"/>
      <c r="V51" s="898"/>
      <c r="W51" s="898"/>
      <c r="X51" s="898"/>
      <c r="Y51" s="898"/>
      <c r="Z51" s="898"/>
      <c r="AA51" s="898"/>
      <c r="AB51" s="898"/>
      <c r="AC51" s="898"/>
      <c r="AD51" s="898"/>
      <c r="AE51" s="898"/>
      <c r="AF51" s="898"/>
      <c r="AG51" s="898"/>
      <c r="AH51" s="898"/>
      <c r="AI51" s="898"/>
      <c r="AJ51" s="898"/>
      <c r="AK51" s="898"/>
      <c r="AL51" s="898"/>
      <c r="AM51" s="898"/>
      <c r="AN51" s="898"/>
      <c r="AO51" s="898"/>
      <c r="AP51" s="898"/>
      <c r="AQ51" s="898"/>
      <c r="AR51" s="898"/>
      <c r="AS51" s="898"/>
      <c r="AT51" s="898"/>
      <c r="AU51" s="898"/>
      <c r="AV51" s="898"/>
      <c r="AW51" s="898"/>
      <c r="AX51" s="898"/>
      <c r="AY51" s="898"/>
      <c r="AZ51" s="898"/>
      <c r="BA51" s="898"/>
      <c r="BB51" s="898"/>
      <c r="BC51" s="898"/>
      <c r="BD51" s="898"/>
      <c r="BE51" s="898"/>
      <c r="BF51" s="898"/>
      <c r="BG51" s="898"/>
      <c r="BH51" s="898"/>
      <c r="BI51" s="898"/>
      <c r="BJ51" s="898"/>
      <c r="BK51" s="898"/>
      <c r="BL51" s="898"/>
      <c r="BM51" s="898"/>
      <c r="BN51" s="898"/>
      <c r="BO51" s="898"/>
      <c r="BP51" s="898"/>
      <c r="BQ51" s="898"/>
      <c r="BR51" s="898"/>
      <c r="BS51" s="898"/>
      <c r="BT51" s="898"/>
      <c r="BU51" s="898"/>
      <c r="BV51" s="898"/>
      <c r="BW51" s="898"/>
      <c r="BX51" s="898"/>
      <c r="BY51" s="898"/>
      <c r="BZ51" s="898"/>
      <c r="CA51" s="898"/>
      <c r="CB51" s="898"/>
      <c r="CC51" s="898"/>
      <c r="CD51" s="898"/>
      <c r="CE51" s="898"/>
      <c r="CF51" s="898"/>
      <c r="CG51" s="898"/>
      <c r="CH51" s="898"/>
      <c r="CI51" s="898"/>
      <c r="CJ51" s="898"/>
      <c r="CK51" s="898"/>
      <c r="CL51" s="898"/>
      <c r="CM51" s="898"/>
      <c r="CN51" s="898"/>
      <c r="CO51" s="898"/>
      <c r="CP51" s="898"/>
      <c r="CQ51" s="898"/>
      <c r="CR51" s="898"/>
      <c r="CS51" s="898"/>
      <c r="CT51" s="898"/>
      <c r="CU51" s="898"/>
      <c r="CV51" s="898"/>
      <c r="CW51" s="898"/>
      <c r="CX51" s="898"/>
      <c r="CY51" s="898"/>
      <c r="CZ51" s="898"/>
      <c r="DA51" s="898"/>
      <c r="DB51" s="898"/>
      <c r="DC51" s="898"/>
      <c r="DD51" s="898"/>
      <c r="DE51" s="898"/>
      <c r="DF51" s="898"/>
      <c r="DG51" s="898"/>
      <c r="DH51" s="898"/>
      <c r="DI51" s="898"/>
      <c r="DJ51" s="898"/>
      <c r="DK51" s="898"/>
      <c r="DL51" s="898"/>
      <c r="DM51" s="898"/>
      <c r="DN51" s="898"/>
      <c r="DO51" s="898"/>
      <c r="DP51" s="898"/>
      <c r="DQ51" s="898"/>
      <c r="DR51" s="898"/>
      <c r="DS51" s="898"/>
      <c r="DT51" s="898"/>
      <c r="DU51" s="898"/>
      <c r="DV51" s="898"/>
      <c r="DW51" s="898"/>
      <c r="DX51" s="898"/>
      <c r="DY51" s="898"/>
      <c r="DZ51" s="898"/>
      <c r="EA51" s="898"/>
      <c r="EB51" s="898"/>
      <c r="EC51" s="898"/>
      <c r="ED51" s="898"/>
      <c r="EE51" s="898"/>
      <c r="EF51" s="898"/>
      <c r="EG51" s="898"/>
      <c r="EH51" s="898"/>
      <c r="EI51" s="898"/>
      <c r="EJ51" s="898"/>
      <c r="EK51" s="898"/>
      <c r="EL51" s="898"/>
      <c r="EM51" s="898"/>
      <c r="EN51" s="898"/>
      <c r="EO51" s="898"/>
      <c r="EP51" s="898"/>
      <c r="EQ51" s="898"/>
      <c r="ER51" s="898"/>
      <c r="ES51" s="898"/>
      <c r="ET51" s="898"/>
      <c r="EU51" s="898"/>
      <c r="EV51" s="898"/>
      <c r="EW51" s="898"/>
      <c r="EX51" s="898"/>
      <c r="EY51" s="898"/>
      <c r="EZ51" s="898"/>
      <c r="FA51" s="898"/>
      <c r="FB51" s="898"/>
      <c r="FC51" s="898"/>
      <c r="FD51" s="898"/>
      <c r="FE51" s="898"/>
      <c r="FF51" s="898"/>
      <c r="FG51" s="898"/>
      <c r="FH51" s="898"/>
      <c r="FI51" s="898"/>
      <c r="FJ51" s="898"/>
      <c r="FK51" s="898"/>
      <c r="FL51" s="898"/>
      <c r="FM51" s="898"/>
      <c r="FN51" s="898"/>
      <c r="FO51" s="898"/>
      <c r="FP51" s="898"/>
      <c r="FQ51" s="898"/>
      <c r="FR51" s="898"/>
      <c r="FS51" s="898"/>
      <c r="FT51" s="898"/>
      <c r="FU51" s="898"/>
      <c r="FV51" s="898"/>
      <c r="FW51" s="898"/>
      <c r="FX51" s="898"/>
      <c r="FY51" s="898"/>
      <c r="FZ51" s="898"/>
      <c r="GA51" s="898"/>
      <c r="GB51" s="898"/>
      <c r="GC51" s="898"/>
      <c r="GD51" s="898"/>
      <c r="GE51" s="898"/>
      <c r="GF51" s="898"/>
      <c r="GG51" s="898"/>
      <c r="GH51" s="898"/>
      <c r="GI51" s="898"/>
      <c r="GJ51" s="898"/>
      <c r="GK51" s="898"/>
      <c r="GL51" s="898"/>
      <c r="GM51" s="898"/>
      <c r="GN51" s="898"/>
      <c r="GO51" s="898"/>
      <c r="GP51" s="898"/>
      <c r="GQ51" s="898"/>
      <c r="GR51" s="898"/>
      <c r="GS51" s="898"/>
      <c r="GT51" s="898"/>
      <c r="GU51" s="898"/>
      <c r="GV51" s="898"/>
      <c r="GW51" s="898"/>
      <c r="GX51" s="898"/>
      <c r="GY51" s="898"/>
      <c r="GZ51" s="898"/>
      <c r="HA51" s="898"/>
      <c r="HB51" s="898"/>
      <c r="HC51" s="898"/>
      <c r="HD51" s="898"/>
      <c r="HE51" s="898"/>
      <c r="HF51" s="898"/>
      <c r="HG51" s="898"/>
      <c r="HH51" s="898"/>
      <c r="HI51" s="898"/>
      <c r="HJ51" s="898"/>
      <c r="HK51" s="898"/>
      <c r="HL51" s="898"/>
      <c r="HM51" s="898"/>
      <c r="HN51" s="898"/>
      <c r="HO51" s="898"/>
      <c r="HP51" s="898"/>
      <c r="HQ51" s="898"/>
      <c r="HR51" s="898"/>
      <c r="HS51" s="898"/>
      <c r="HT51" s="898"/>
      <c r="HU51" s="898"/>
      <c r="HV51" s="898"/>
      <c r="HW51" s="898"/>
      <c r="HX51" s="898"/>
      <c r="HY51" s="898"/>
      <c r="HZ51" s="898"/>
      <c r="IA51" s="898"/>
      <c r="IB51" s="898"/>
      <c r="IC51" s="898"/>
      <c r="ID51" s="898"/>
      <c r="IE51" s="898"/>
      <c r="IF51" s="898"/>
      <c r="IG51" s="898"/>
      <c r="IH51" s="898"/>
      <c r="II51" s="898"/>
      <c r="IJ51" s="898"/>
      <c r="IK51" s="898"/>
      <c r="IL51" s="898"/>
      <c r="IM51" s="898"/>
      <c r="IN51" s="898"/>
      <c r="IO51" s="898"/>
      <c r="IP51" s="898"/>
      <c r="IQ51" s="898"/>
      <c r="IR51" s="898"/>
      <c r="IS51" s="898"/>
      <c r="IT51" s="898"/>
      <c r="IU51" s="898"/>
      <c r="IV51" s="898"/>
    </row>
    <row r="52" spans="1:256" ht="18">
      <c r="A52" s="909"/>
      <c r="B52" s="898"/>
      <c r="C52" s="898"/>
      <c r="D52" s="898"/>
      <c r="E52" s="898"/>
      <c r="F52" s="898"/>
      <c r="G52" s="898"/>
      <c r="H52" s="898"/>
      <c r="I52" s="898"/>
      <c r="J52" s="898"/>
      <c r="K52" s="898"/>
      <c r="L52" s="898"/>
      <c r="M52" s="898"/>
      <c r="N52" s="898"/>
      <c r="O52" s="911"/>
      <c r="P52" s="911"/>
      <c r="Q52" s="898"/>
      <c r="R52" s="898"/>
      <c r="S52" s="898"/>
      <c r="T52" s="898"/>
      <c r="U52" s="898"/>
      <c r="V52" s="898"/>
      <c r="W52" s="898"/>
      <c r="X52" s="898"/>
      <c r="Y52" s="898"/>
      <c r="Z52" s="898"/>
      <c r="AA52" s="898"/>
      <c r="AB52" s="898"/>
      <c r="AC52" s="898"/>
      <c r="AD52" s="898"/>
      <c r="AE52" s="898"/>
      <c r="AF52" s="898"/>
      <c r="AG52" s="898"/>
      <c r="AH52" s="898"/>
      <c r="AI52" s="898"/>
      <c r="AJ52" s="898"/>
      <c r="AK52" s="898"/>
      <c r="AL52" s="898"/>
      <c r="AM52" s="898"/>
      <c r="AN52" s="898"/>
      <c r="AO52" s="898"/>
      <c r="AP52" s="898"/>
      <c r="AQ52" s="898"/>
      <c r="AR52" s="898"/>
      <c r="AS52" s="898"/>
      <c r="AT52" s="898"/>
      <c r="AU52" s="898"/>
      <c r="AV52" s="898"/>
      <c r="AW52" s="898"/>
      <c r="AX52" s="898"/>
      <c r="AY52" s="898"/>
      <c r="AZ52" s="898"/>
      <c r="BA52" s="898"/>
      <c r="BB52" s="898"/>
      <c r="BC52" s="898"/>
      <c r="BD52" s="898"/>
      <c r="BE52" s="898"/>
      <c r="BF52" s="898"/>
      <c r="BG52" s="898"/>
      <c r="BH52" s="898"/>
      <c r="BI52" s="898"/>
      <c r="BJ52" s="898"/>
      <c r="BK52" s="898"/>
      <c r="BL52" s="898"/>
      <c r="BM52" s="898"/>
      <c r="BN52" s="898"/>
      <c r="BO52" s="898"/>
      <c r="BP52" s="898"/>
      <c r="BQ52" s="898"/>
      <c r="BR52" s="898"/>
      <c r="BS52" s="898"/>
      <c r="BT52" s="898"/>
      <c r="BU52" s="898"/>
      <c r="BV52" s="898"/>
      <c r="BW52" s="898"/>
      <c r="BX52" s="898"/>
      <c r="BY52" s="898"/>
      <c r="BZ52" s="898"/>
      <c r="CA52" s="898"/>
      <c r="CB52" s="898"/>
      <c r="CC52" s="898"/>
      <c r="CD52" s="898"/>
      <c r="CE52" s="898"/>
      <c r="CF52" s="898"/>
      <c r="CG52" s="898"/>
      <c r="CH52" s="898"/>
      <c r="CI52" s="898"/>
      <c r="CJ52" s="898"/>
      <c r="CK52" s="898"/>
      <c r="CL52" s="898"/>
      <c r="CM52" s="898"/>
      <c r="CN52" s="898"/>
      <c r="CO52" s="898"/>
      <c r="CP52" s="898"/>
      <c r="CQ52" s="898"/>
      <c r="CR52" s="898"/>
      <c r="CS52" s="898"/>
      <c r="CT52" s="898"/>
      <c r="CU52" s="898"/>
      <c r="CV52" s="898"/>
      <c r="CW52" s="898"/>
      <c r="CX52" s="898"/>
      <c r="CY52" s="898"/>
      <c r="CZ52" s="898"/>
      <c r="DA52" s="898"/>
      <c r="DB52" s="898"/>
      <c r="DC52" s="898"/>
      <c r="DD52" s="898"/>
      <c r="DE52" s="898"/>
      <c r="DF52" s="898"/>
      <c r="DG52" s="898"/>
      <c r="DH52" s="898"/>
      <c r="DI52" s="898"/>
      <c r="DJ52" s="898"/>
      <c r="DK52" s="898"/>
      <c r="DL52" s="898"/>
      <c r="DM52" s="898"/>
      <c r="DN52" s="898"/>
      <c r="DO52" s="898"/>
      <c r="DP52" s="898"/>
      <c r="DQ52" s="898"/>
      <c r="DR52" s="898"/>
      <c r="DS52" s="898"/>
      <c r="DT52" s="898"/>
      <c r="DU52" s="898"/>
      <c r="DV52" s="898"/>
      <c r="DW52" s="898"/>
      <c r="DX52" s="898"/>
      <c r="DY52" s="898"/>
      <c r="DZ52" s="898"/>
      <c r="EA52" s="898"/>
      <c r="EB52" s="898"/>
      <c r="EC52" s="898"/>
      <c r="ED52" s="898"/>
      <c r="EE52" s="898"/>
      <c r="EF52" s="898"/>
      <c r="EG52" s="898"/>
      <c r="EH52" s="898"/>
      <c r="EI52" s="898"/>
      <c r="EJ52" s="898"/>
      <c r="EK52" s="898"/>
      <c r="EL52" s="898"/>
      <c r="EM52" s="898"/>
      <c r="EN52" s="898"/>
      <c r="EO52" s="898"/>
      <c r="EP52" s="898"/>
      <c r="EQ52" s="898"/>
      <c r="ER52" s="898"/>
      <c r="ES52" s="898"/>
      <c r="ET52" s="898"/>
      <c r="EU52" s="898"/>
      <c r="EV52" s="898"/>
      <c r="EW52" s="898"/>
      <c r="EX52" s="898"/>
      <c r="EY52" s="898"/>
      <c r="EZ52" s="898"/>
      <c r="FA52" s="898"/>
      <c r="FB52" s="898"/>
      <c r="FC52" s="898"/>
      <c r="FD52" s="898"/>
      <c r="FE52" s="898"/>
      <c r="FF52" s="898"/>
      <c r="FG52" s="898"/>
      <c r="FH52" s="898"/>
      <c r="FI52" s="898"/>
      <c r="FJ52" s="898"/>
      <c r="FK52" s="898"/>
      <c r="FL52" s="898"/>
      <c r="FM52" s="898"/>
      <c r="FN52" s="898"/>
      <c r="FO52" s="898"/>
      <c r="FP52" s="898"/>
      <c r="FQ52" s="898"/>
      <c r="FR52" s="898"/>
      <c r="FS52" s="898"/>
      <c r="FT52" s="898"/>
      <c r="FU52" s="898"/>
      <c r="FV52" s="898"/>
      <c r="FW52" s="898"/>
      <c r="FX52" s="898"/>
      <c r="FY52" s="898"/>
      <c r="FZ52" s="898"/>
      <c r="GA52" s="898"/>
      <c r="GB52" s="898"/>
      <c r="GC52" s="898"/>
      <c r="GD52" s="898"/>
      <c r="GE52" s="898"/>
      <c r="GF52" s="898"/>
      <c r="GG52" s="898"/>
      <c r="GH52" s="898"/>
      <c r="GI52" s="898"/>
      <c r="GJ52" s="898"/>
      <c r="GK52" s="898"/>
      <c r="GL52" s="898"/>
      <c r="GM52" s="898"/>
      <c r="GN52" s="898"/>
      <c r="GO52" s="898"/>
      <c r="GP52" s="898"/>
      <c r="GQ52" s="898"/>
      <c r="GR52" s="898"/>
      <c r="GS52" s="898"/>
      <c r="GT52" s="898"/>
      <c r="GU52" s="898"/>
      <c r="GV52" s="898"/>
      <c r="GW52" s="898"/>
      <c r="GX52" s="898"/>
      <c r="GY52" s="898"/>
      <c r="GZ52" s="898"/>
      <c r="HA52" s="898"/>
      <c r="HB52" s="898"/>
      <c r="HC52" s="898"/>
      <c r="HD52" s="898"/>
      <c r="HE52" s="898"/>
      <c r="HF52" s="898"/>
      <c r="HG52" s="898"/>
      <c r="HH52" s="898"/>
      <c r="HI52" s="898"/>
      <c r="HJ52" s="898"/>
      <c r="HK52" s="898"/>
      <c r="HL52" s="898"/>
      <c r="HM52" s="898"/>
      <c r="HN52" s="898"/>
      <c r="HO52" s="898"/>
      <c r="HP52" s="898"/>
      <c r="HQ52" s="898"/>
      <c r="HR52" s="898"/>
      <c r="HS52" s="898"/>
      <c r="HT52" s="898"/>
      <c r="HU52" s="898"/>
      <c r="HV52" s="898"/>
      <c r="HW52" s="898"/>
      <c r="HX52" s="898"/>
      <c r="HY52" s="898"/>
      <c r="HZ52" s="898"/>
      <c r="IA52" s="898"/>
      <c r="IB52" s="898"/>
      <c r="IC52" s="898"/>
      <c r="ID52" s="898"/>
      <c r="IE52" s="898"/>
      <c r="IF52" s="898"/>
      <c r="IG52" s="898"/>
      <c r="IH52" s="898"/>
      <c r="II52" s="898"/>
      <c r="IJ52" s="898"/>
      <c r="IK52" s="898"/>
      <c r="IL52" s="898"/>
      <c r="IM52" s="898"/>
      <c r="IN52" s="898"/>
      <c r="IO52" s="898"/>
      <c r="IP52" s="898"/>
      <c r="IQ52" s="898"/>
      <c r="IR52" s="898"/>
      <c r="IS52" s="898"/>
      <c r="IT52" s="898"/>
      <c r="IU52" s="898"/>
      <c r="IV52" s="898"/>
    </row>
    <row r="53" spans="1:256" ht="18">
      <c r="A53" s="909"/>
      <c r="B53" s="898"/>
      <c r="C53" s="898"/>
      <c r="D53" s="898"/>
      <c r="E53" s="898"/>
      <c r="F53" s="898"/>
      <c r="G53" s="898"/>
      <c r="H53" s="898"/>
      <c r="I53" s="898"/>
      <c r="J53" s="898"/>
      <c r="K53" s="898"/>
      <c r="L53" s="898"/>
      <c r="M53" s="898"/>
      <c r="N53" s="898"/>
      <c r="O53" s="911"/>
      <c r="P53" s="911"/>
      <c r="Q53" s="898"/>
      <c r="R53" s="898"/>
      <c r="S53" s="898"/>
      <c r="T53" s="898"/>
      <c r="U53" s="898"/>
      <c r="V53" s="898"/>
      <c r="W53" s="898"/>
      <c r="X53" s="898"/>
      <c r="Y53" s="898"/>
      <c r="Z53" s="898"/>
      <c r="AA53" s="898"/>
      <c r="AB53" s="898"/>
      <c r="AC53" s="898"/>
      <c r="AD53" s="898"/>
      <c r="AE53" s="898"/>
      <c r="AF53" s="898"/>
      <c r="AG53" s="898"/>
      <c r="AH53" s="898"/>
      <c r="AI53" s="898"/>
      <c r="AJ53" s="898"/>
      <c r="AK53" s="898"/>
      <c r="AL53" s="898"/>
      <c r="AM53" s="898"/>
      <c r="AN53" s="898"/>
      <c r="AO53" s="898"/>
      <c r="AP53" s="898"/>
      <c r="AQ53" s="898"/>
      <c r="AR53" s="898"/>
      <c r="AS53" s="898"/>
      <c r="AT53" s="898"/>
      <c r="AU53" s="898"/>
      <c r="AV53" s="898"/>
      <c r="AW53" s="898"/>
      <c r="AX53" s="898"/>
      <c r="AY53" s="898"/>
      <c r="AZ53" s="898"/>
      <c r="BA53" s="898"/>
      <c r="BB53" s="898"/>
      <c r="BC53" s="898"/>
      <c r="BD53" s="898"/>
      <c r="BE53" s="898"/>
      <c r="BF53" s="898"/>
      <c r="BG53" s="898"/>
      <c r="BH53" s="898"/>
      <c r="BI53" s="898"/>
      <c r="BJ53" s="898"/>
      <c r="BK53" s="898"/>
      <c r="BL53" s="898"/>
      <c r="BM53" s="898"/>
      <c r="BN53" s="898"/>
      <c r="BO53" s="898"/>
      <c r="BP53" s="898"/>
      <c r="BQ53" s="898"/>
      <c r="BR53" s="898"/>
      <c r="BS53" s="898"/>
      <c r="BT53" s="898"/>
      <c r="BU53" s="898"/>
      <c r="BV53" s="898"/>
      <c r="BW53" s="898"/>
      <c r="BX53" s="898"/>
      <c r="BY53" s="898"/>
      <c r="BZ53" s="898"/>
      <c r="CA53" s="898"/>
      <c r="CB53" s="898"/>
      <c r="CC53" s="898"/>
      <c r="CD53" s="898"/>
      <c r="CE53" s="898"/>
      <c r="CF53" s="898"/>
      <c r="CG53" s="898"/>
      <c r="CH53" s="898"/>
      <c r="CI53" s="898"/>
      <c r="CJ53" s="898"/>
      <c r="CK53" s="898"/>
      <c r="CL53" s="898"/>
      <c r="CM53" s="898"/>
      <c r="CN53" s="898"/>
      <c r="CO53" s="898"/>
      <c r="CP53" s="898"/>
      <c r="CQ53" s="898"/>
      <c r="CR53" s="898"/>
      <c r="CS53" s="898"/>
      <c r="CT53" s="898"/>
      <c r="CU53" s="898"/>
      <c r="CV53" s="898"/>
      <c r="CW53" s="898"/>
      <c r="CX53" s="898"/>
      <c r="CY53" s="898"/>
      <c r="CZ53" s="898"/>
      <c r="DA53" s="898"/>
      <c r="DB53" s="898"/>
      <c r="DC53" s="898"/>
      <c r="DD53" s="898"/>
      <c r="DE53" s="898"/>
      <c r="DF53" s="898"/>
      <c r="DG53" s="898"/>
      <c r="DH53" s="898"/>
      <c r="DI53" s="898"/>
      <c r="DJ53" s="898"/>
      <c r="DK53" s="898"/>
      <c r="DL53" s="898"/>
      <c r="DM53" s="898"/>
      <c r="DN53" s="898"/>
      <c r="DO53" s="898"/>
      <c r="DP53" s="898"/>
      <c r="DQ53" s="898"/>
      <c r="DR53" s="898"/>
      <c r="DS53" s="898"/>
      <c r="DT53" s="898"/>
      <c r="DU53" s="898"/>
      <c r="DV53" s="898"/>
      <c r="DW53" s="898"/>
      <c r="DX53" s="898"/>
      <c r="DY53" s="898"/>
      <c r="DZ53" s="898"/>
      <c r="EA53" s="898"/>
      <c r="EB53" s="898"/>
      <c r="EC53" s="898"/>
      <c r="ED53" s="898"/>
      <c r="EE53" s="898"/>
      <c r="EF53" s="898"/>
      <c r="EG53" s="898"/>
      <c r="EH53" s="898"/>
      <c r="EI53" s="898"/>
      <c r="EJ53" s="898"/>
      <c r="EK53" s="898"/>
      <c r="EL53" s="898"/>
      <c r="EM53" s="898"/>
      <c r="EN53" s="898"/>
      <c r="EO53" s="898"/>
      <c r="EP53" s="898"/>
      <c r="EQ53" s="898"/>
      <c r="ER53" s="898"/>
      <c r="ES53" s="898"/>
      <c r="ET53" s="898"/>
      <c r="EU53" s="898"/>
      <c r="EV53" s="898"/>
      <c r="EW53" s="898"/>
      <c r="EX53" s="898"/>
      <c r="EY53" s="898"/>
      <c r="EZ53" s="898"/>
      <c r="FA53" s="898"/>
      <c r="FB53" s="898"/>
      <c r="FC53" s="898"/>
      <c r="FD53" s="898"/>
      <c r="FE53" s="898"/>
      <c r="FF53" s="898"/>
      <c r="FG53" s="898"/>
      <c r="FH53" s="898"/>
      <c r="FI53" s="898"/>
      <c r="FJ53" s="898"/>
      <c r="FK53" s="898"/>
      <c r="FL53" s="898"/>
      <c r="FM53" s="898"/>
      <c r="FN53" s="898"/>
      <c r="FO53" s="898"/>
      <c r="FP53" s="898"/>
      <c r="FQ53" s="898"/>
      <c r="FR53" s="898"/>
      <c r="FS53" s="898"/>
      <c r="FT53" s="898"/>
      <c r="FU53" s="898"/>
      <c r="FV53" s="898"/>
      <c r="FW53" s="898"/>
      <c r="FX53" s="898"/>
      <c r="FY53" s="898"/>
      <c r="FZ53" s="898"/>
      <c r="GA53" s="898"/>
      <c r="GB53" s="898"/>
      <c r="GC53" s="898"/>
      <c r="GD53" s="898"/>
      <c r="GE53" s="898"/>
      <c r="GF53" s="898"/>
      <c r="GG53" s="898"/>
      <c r="GH53" s="898"/>
      <c r="GI53" s="898"/>
      <c r="GJ53" s="898"/>
      <c r="GK53" s="898"/>
      <c r="GL53" s="898"/>
      <c r="GM53" s="898"/>
      <c r="GN53" s="898"/>
      <c r="GO53" s="898"/>
      <c r="GP53" s="898"/>
      <c r="GQ53" s="898"/>
      <c r="GR53" s="898"/>
      <c r="GS53" s="898"/>
      <c r="GT53" s="898"/>
      <c r="GU53" s="898"/>
      <c r="GV53" s="898"/>
      <c r="GW53" s="898"/>
      <c r="GX53" s="898"/>
      <c r="GY53" s="898"/>
      <c r="GZ53" s="898"/>
      <c r="HA53" s="898"/>
      <c r="HB53" s="898"/>
      <c r="HC53" s="898"/>
      <c r="HD53" s="898"/>
      <c r="HE53" s="898"/>
      <c r="HF53" s="898"/>
      <c r="HG53" s="898"/>
      <c r="HH53" s="898"/>
      <c r="HI53" s="898"/>
      <c r="HJ53" s="898"/>
      <c r="HK53" s="898"/>
      <c r="HL53" s="898"/>
      <c r="HM53" s="898"/>
      <c r="HN53" s="898"/>
      <c r="HO53" s="898"/>
      <c r="HP53" s="898"/>
      <c r="HQ53" s="898"/>
      <c r="HR53" s="898"/>
      <c r="HS53" s="898"/>
      <c r="HT53" s="898"/>
      <c r="HU53" s="898"/>
      <c r="HV53" s="898"/>
      <c r="HW53" s="898"/>
      <c r="HX53" s="898"/>
      <c r="HY53" s="898"/>
      <c r="HZ53" s="898"/>
      <c r="IA53" s="898"/>
      <c r="IB53" s="898"/>
      <c r="IC53" s="898"/>
      <c r="ID53" s="898"/>
      <c r="IE53" s="898"/>
      <c r="IF53" s="898"/>
      <c r="IG53" s="898"/>
      <c r="IH53" s="898"/>
      <c r="II53" s="898"/>
      <c r="IJ53" s="898"/>
      <c r="IK53" s="898"/>
      <c r="IL53" s="898"/>
      <c r="IM53" s="898"/>
      <c r="IN53" s="898"/>
      <c r="IO53" s="898"/>
      <c r="IP53" s="898"/>
      <c r="IQ53" s="898"/>
      <c r="IR53" s="898"/>
      <c r="IS53" s="898"/>
      <c r="IT53" s="898"/>
      <c r="IU53" s="898"/>
      <c r="IV53" s="898"/>
    </row>
    <row r="54" spans="1:256" ht="18">
      <c r="A54" s="909"/>
      <c r="B54" s="898"/>
      <c r="C54" s="898"/>
      <c r="D54" s="898"/>
      <c r="E54" s="898"/>
      <c r="F54" s="898"/>
      <c r="G54" s="898"/>
      <c r="H54" s="898"/>
      <c r="I54" s="898"/>
      <c r="J54" s="898"/>
      <c r="K54" s="898"/>
      <c r="L54" s="898"/>
      <c r="M54" s="898"/>
      <c r="N54" s="898"/>
      <c r="O54" s="911"/>
      <c r="P54" s="911"/>
      <c r="Q54" s="898"/>
      <c r="R54" s="898"/>
      <c r="S54" s="898"/>
      <c r="T54" s="898"/>
      <c r="U54" s="898"/>
      <c r="V54" s="898"/>
      <c r="W54" s="898"/>
      <c r="X54" s="898"/>
      <c r="Y54" s="898"/>
      <c r="Z54" s="898"/>
      <c r="AA54" s="898"/>
      <c r="AB54" s="898"/>
      <c r="AC54" s="898"/>
      <c r="AD54" s="898"/>
      <c r="AE54" s="898"/>
      <c r="AF54" s="898"/>
      <c r="AG54" s="898"/>
      <c r="AH54" s="898"/>
      <c r="AI54" s="898"/>
      <c r="AJ54" s="898"/>
      <c r="AK54" s="898"/>
      <c r="AL54" s="898"/>
      <c r="AM54" s="898"/>
      <c r="AN54" s="898"/>
      <c r="AO54" s="898"/>
      <c r="AP54" s="898"/>
      <c r="AQ54" s="898"/>
      <c r="AR54" s="898"/>
      <c r="AS54" s="898"/>
      <c r="AT54" s="898"/>
      <c r="AU54" s="898"/>
      <c r="AV54" s="898"/>
      <c r="AW54" s="898"/>
      <c r="AX54" s="898"/>
      <c r="AY54" s="898"/>
      <c r="AZ54" s="898"/>
      <c r="BA54" s="898"/>
      <c r="BB54" s="898"/>
      <c r="BC54" s="898"/>
      <c r="BD54" s="898"/>
      <c r="BE54" s="898"/>
      <c r="BF54" s="898"/>
      <c r="BG54" s="898"/>
      <c r="BH54" s="898"/>
      <c r="BI54" s="898"/>
      <c r="BJ54" s="898"/>
      <c r="BK54" s="898"/>
      <c r="BL54" s="898"/>
      <c r="BM54" s="898"/>
      <c r="BN54" s="898"/>
      <c r="BO54" s="898"/>
      <c r="BP54" s="898"/>
      <c r="BQ54" s="898"/>
      <c r="BR54" s="898"/>
      <c r="BS54" s="898"/>
      <c r="BT54" s="898"/>
      <c r="BU54" s="898"/>
      <c r="BV54" s="898"/>
      <c r="BW54" s="898"/>
      <c r="BX54" s="898"/>
      <c r="BY54" s="898"/>
      <c r="BZ54" s="898"/>
      <c r="CA54" s="898"/>
      <c r="CB54" s="898"/>
      <c r="CC54" s="898"/>
      <c r="CD54" s="898"/>
      <c r="CE54" s="898"/>
      <c r="CF54" s="898"/>
      <c r="CG54" s="898"/>
      <c r="CH54" s="898"/>
      <c r="CI54" s="898"/>
      <c r="CJ54" s="898"/>
      <c r="CK54" s="898"/>
      <c r="CL54" s="898"/>
      <c r="CM54" s="898"/>
      <c r="CN54" s="898"/>
      <c r="CO54" s="898"/>
      <c r="CP54" s="898"/>
      <c r="CQ54" s="898"/>
      <c r="CR54" s="898"/>
      <c r="CS54" s="898"/>
      <c r="CT54" s="898"/>
      <c r="CU54" s="898"/>
      <c r="CV54" s="898"/>
      <c r="CW54" s="898"/>
      <c r="CX54" s="898"/>
      <c r="CY54" s="898"/>
      <c r="CZ54" s="898"/>
      <c r="DA54" s="898"/>
      <c r="DB54" s="898"/>
      <c r="DC54" s="898"/>
      <c r="DD54" s="898"/>
      <c r="DE54" s="898"/>
      <c r="DF54" s="898"/>
      <c r="DG54" s="898"/>
      <c r="DH54" s="898"/>
      <c r="DI54" s="898"/>
      <c r="DJ54" s="898"/>
      <c r="DK54" s="898"/>
      <c r="DL54" s="898"/>
      <c r="DM54" s="898"/>
      <c r="DN54" s="898"/>
      <c r="DO54" s="898"/>
      <c r="DP54" s="898"/>
      <c r="DQ54" s="898"/>
      <c r="DR54" s="898"/>
      <c r="DS54" s="898"/>
      <c r="DT54" s="898"/>
      <c r="DU54" s="898"/>
      <c r="DV54" s="898"/>
      <c r="DW54" s="898"/>
      <c r="DX54" s="898"/>
      <c r="DY54" s="898"/>
      <c r="DZ54" s="898"/>
      <c r="EA54" s="898"/>
      <c r="EB54" s="898"/>
      <c r="EC54" s="898"/>
      <c r="ED54" s="898"/>
      <c r="EE54" s="898"/>
      <c r="EF54" s="898"/>
      <c r="EG54" s="898"/>
      <c r="EH54" s="898"/>
      <c r="EI54" s="898"/>
      <c r="EJ54" s="898"/>
      <c r="EK54" s="898"/>
      <c r="EL54" s="898"/>
      <c r="EM54" s="898"/>
      <c r="EN54" s="898"/>
      <c r="EO54" s="898"/>
      <c r="EP54" s="898"/>
      <c r="EQ54" s="898"/>
      <c r="ER54" s="898"/>
      <c r="ES54" s="898"/>
      <c r="ET54" s="898"/>
      <c r="EU54" s="898"/>
      <c r="EV54" s="898"/>
      <c r="EW54" s="898"/>
      <c r="EX54" s="898"/>
      <c r="EY54" s="898"/>
      <c r="EZ54" s="898"/>
      <c r="FA54" s="898"/>
      <c r="FB54" s="898"/>
      <c r="FC54" s="898"/>
      <c r="FD54" s="898"/>
      <c r="FE54" s="898"/>
      <c r="FF54" s="898"/>
      <c r="FG54" s="898"/>
      <c r="FH54" s="898"/>
      <c r="FI54" s="898"/>
      <c r="FJ54" s="898"/>
      <c r="FK54" s="898"/>
      <c r="FL54" s="898"/>
      <c r="FM54" s="898"/>
      <c r="FN54" s="898"/>
      <c r="FO54" s="898"/>
      <c r="FP54" s="898"/>
      <c r="FQ54" s="898"/>
      <c r="FR54" s="898"/>
      <c r="FS54" s="898"/>
      <c r="FT54" s="898"/>
      <c r="FU54" s="898"/>
      <c r="FV54" s="898"/>
      <c r="FW54" s="898"/>
      <c r="FX54" s="898"/>
      <c r="FY54" s="898"/>
      <c r="FZ54" s="898"/>
      <c r="GA54" s="898"/>
      <c r="GB54" s="898"/>
      <c r="GC54" s="898"/>
      <c r="GD54" s="898"/>
      <c r="GE54" s="898"/>
      <c r="GF54" s="898"/>
      <c r="GG54" s="898"/>
      <c r="GH54" s="898"/>
      <c r="GI54" s="898"/>
      <c r="GJ54" s="898"/>
      <c r="GK54" s="898"/>
      <c r="GL54" s="898"/>
      <c r="GM54" s="898"/>
      <c r="GN54" s="898"/>
      <c r="GO54" s="898"/>
      <c r="GP54" s="898"/>
      <c r="GQ54" s="898"/>
      <c r="GR54" s="898"/>
      <c r="GS54" s="898"/>
      <c r="GT54" s="898"/>
      <c r="GU54" s="898"/>
      <c r="GV54" s="898"/>
      <c r="GW54" s="898"/>
      <c r="GX54" s="898"/>
      <c r="GY54" s="898"/>
      <c r="GZ54" s="898"/>
      <c r="HA54" s="898"/>
      <c r="HB54" s="898"/>
      <c r="HC54" s="898"/>
      <c r="HD54" s="898"/>
      <c r="HE54" s="898"/>
      <c r="HF54" s="898"/>
      <c r="HG54" s="898"/>
      <c r="HH54" s="898"/>
      <c r="HI54" s="898"/>
      <c r="HJ54" s="898"/>
      <c r="HK54" s="898"/>
      <c r="HL54" s="898"/>
      <c r="HM54" s="898"/>
      <c r="HN54" s="898"/>
      <c r="HO54" s="898"/>
      <c r="HP54" s="898"/>
      <c r="HQ54" s="898"/>
      <c r="HR54" s="898"/>
      <c r="HS54" s="898"/>
      <c r="HT54" s="898"/>
      <c r="HU54" s="898"/>
      <c r="HV54" s="898"/>
      <c r="HW54" s="898"/>
      <c r="HX54" s="898"/>
      <c r="HY54" s="898"/>
      <c r="HZ54" s="898"/>
      <c r="IA54" s="898"/>
      <c r="IB54" s="898"/>
      <c r="IC54" s="898"/>
      <c r="ID54" s="898"/>
      <c r="IE54" s="898"/>
      <c r="IF54" s="898"/>
      <c r="IG54" s="898"/>
      <c r="IH54" s="898"/>
      <c r="II54" s="898"/>
      <c r="IJ54" s="898"/>
      <c r="IK54" s="898"/>
      <c r="IL54" s="898"/>
      <c r="IM54" s="898"/>
      <c r="IN54" s="898"/>
      <c r="IO54" s="898"/>
      <c r="IP54" s="898"/>
      <c r="IQ54" s="898"/>
      <c r="IR54" s="898"/>
      <c r="IS54" s="898"/>
      <c r="IT54" s="898"/>
      <c r="IU54" s="898"/>
      <c r="IV54" s="898"/>
    </row>
    <row r="55" spans="1:256" ht="18">
      <c r="A55" s="909"/>
      <c r="B55" s="898"/>
      <c r="C55" s="898"/>
      <c r="D55" s="898"/>
      <c r="E55" s="898"/>
      <c r="F55" s="898"/>
      <c r="G55" s="898"/>
      <c r="H55" s="898"/>
      <c r="I55" s="898"/>
      <c r="J55" s="898"/>
      <c r="K55" s="898"/>
      <c r="L55" s="898"/>
      <c r="M55" s="898"/>
      <c r="N55" s="898"/>
      <c r="O55" s="911"/>
      <c r="P55" s="911"/>
      <c r="Q55" s="898"/>
      <c r="R55" s="898"/>
      <c r="S55" s="898"/>
      <c r="T55" s="898"/>
      <c r="U55" s="898"/>
      <c r="V55" s="898"/>
      <c r="W55" s="898"/>
      <c r="X55" s="898"/>
      <c r="Y55" s="898"/>
      <c r="Z55" s="898"/>
      <c r="AA55" s="898"/>
      <c r="AB55" s="898"/>
      <c r="AC55" s="898"/>
      <c r="AD55" s="898"/>
      <c r="AE55" s="898"/>
      <c r="AF55" s="898"/>
      <c r="AG55" s="898"/>
      <c r="AH55" s="898"/>
      <c r="AI55" s="898"/>
      <c r="AJ55" s="898"/>
      <c r="AK55" s="898"/>
      <c r="AL55" s="898"/>
      <c r="AM55" s="898"/>
      <c r="AN55" s="898"/>
      <c r="AO55" s="898"/>
      <c r="AP55" s="898"/>
      <c r="AQ55" s="898"/>
      <c r="AR55" s="898"/>
      <c r="AS55" s="898"/>
      <c r="AT55" s="898"/>
      <c r="AU55" s="898"/>
      <c r="AV55" s="898"/>
      <c r="AW55" s="898"/>
      <c r="AX55" s="898"/>
      <c r="AY55" s="898"/>
      <c r="AZ55" s="898"/>
      <c r="BA55" s="898"/>
      <c r="BB55" s="898"/>
      <c r="BC55" s="898"/>
      <c r="BD55" s="898"/>
      <c r="BE55" s="898"/>
      <c r="BF55" s="898"/>
      <c r="BG55" s="898"/>
      <c r="BH55" s="898"/>
      <c r="BI55" s="898"/>
      <c r="BJ55" s="898"/>
      <c r="BK55" s="898"/>
      <c r="BL55" s="898"/>
      <c r="BM55" s="898"/>
      <c r="BN55" s="898"/>
      <c r="BO55" s="898"/>
      <c r="BP55" s="898"/>
      <c r="BQ55" s="898"/>
      <c r="BR55" s="898"/>
      <c r="BS55" s="898"/>
      <c r="BT55" s="898"/>
      <c r="BU55" s="898"/>
      <c r="BV55" s="898"/>
      <c r="BW55" s="898"/>
      <c r="BX55" s="898"/>
      <c r="BY55" s="898"/>
      <c r="BZ55" s="898"/>
      <c r="CA55" s="898"/>
      <c r="CB55" s="898"/>
      <c r="CC55" s="898"/>
      <c r="CD55" s="898"/>
      <c r="CE55" s="898"/>
      <c r="CF55" s="898"/>
      <c r="CG55" s="898"/>
      <c r="CH55" s="898"/>
      <c r="CI55" s="898"/>
      <c r="CJ55" s="898"/>
      <c r="CK55" s="898"/>
      <c r="CL55" s="898"/>
      <c r="CM55" s="898"/>
      <c r="CN55" s="898"/>
      <c r="CO55" s="898"/>
      <c r="CP55" s="898"/>
      <c r="CQ55" s="898"/>
      <c r="CR55" s="898"/>
      <c r="CS55" s="898"/>
      <c r="CT55" s="898"/>
      <c r="CU55" s="898"/>
      <c r="CV55" s="898"/>
      <c r="CW55" s="898"/>
      <c r="CX55" s="898"/>
      <c r="CY55" s="898"/>
      <c r="CZ55" s="898"/>
      <c r="DA55" s="898"/>
      <c r="DB55" s="898"/>
      <c r="DC55" s="898"/>
      <c r="DD55" s="898"/>
      <c r="DE55" s="898"/>
      <c r="DF55" s="898"/>
      <c r="DG55" s="898"/>
      <c r="DH55" s="898"/>
      <c r="DI55" s="898"/>
      <c r="DJ55" s="898"/>
      <c r="DK55" s="898"/>
      <c r="DL55" s="898"/>
      <c r="DM55" s="898"/>
      <c r="DN55" s="898"/>
      <c r="DO55" s="898"/>
      <c r="DP55" s="898"/>
      <c r="DQ55" s="898"/>
      <c r="DR55" s="898"/>
      <c r="DS55" s="898"/>
      <c r="DT55" s="898"/>
      <c r="DU55" s="898"/>
      <c r="DV55" s="898"/>
      <c r="DW55" s="898"/>
      <c r="DX55" s="898"/>
      <c r="DY55" s="898"/>
      <c r="DZ55" s="898"/>
      <c r="EA55" s="898"/>
      <c r="EB55" s="898"/>
      <c r="EC55" s="898"/>
      <c r="ED55" s="898"/>
      <c r="EE55" s="898"/>
      <c r="EF55" s="898"/>
      <c r="EG55" s="898"/>
      <c r="EH55" s="898"/>
      <c r="EI55" s="898"/>
      <c r="EJ55" s="898"/>
      <c r="EK55" s="898"/>
      <c r="EL55" s="898"/>
      <c r="EM55" s="898"/>
      <c r="EN55" s="898"/>
      <c r="EO55" s="898"/>
      <c r="EP55" s="898"/>
      <c r="EQ55" s="898"/>
      <c r="ER55" s="898"/>
      <c r="ES55" s="898"/>
      <c r="ET55" s="898"/>
      <c r="EU55" s="898"/>
      <c r="EV55" s="898"/>
      <c r="EW55" s="898"/>
      <c r="EX55" s="898"/>
      <c r="EY55" s="898"/>
      <c r="EZ55" s="898"/>
      <c r="FA55" s="898"/>
      <c r="FB55" s="898"/>
      <c r="FC55" s="898"/>
      <c r="FD55" s="898"/>
      <c r="FE55" s="898"/>
      <c r="FF55" s="898"/>
      <c r="FG55" s="898"/>
      <c r="FH55" s="898"/>
      <c r="FI55" s="898"/>
      <c r="FJ55" s="898"/>
      <c r="FK55" s="898"/>
      <c r="FL55" s="898"/>
      <c r="FM55" s="898"/>
      <c r="FN55" s="898"/>
      <c r="FO55" s="898"/>
      <c r="FP55" s="898"/>
      <c r="FQ55" s="898"/>
      <c r="FR55" s="898"/>
      <c r="FS55" s="898"/>
      <c r="FT55" s="898"/>
      <c r="FU55" s="898"/>
      <c r="FV55" s="898"/>
      <c r="FW55" s="898"/>
      <c r="FX55" s="898"/>
      <c r="FY55" s="898"/>
      <c r="FZ55" s="898"/>
      <c r="GA55" s="898"/>
      <c r="GB55" s="898"/>
      <c r="GC55" s="898"/>
      <c r="GD55" s="898"/>
      <c r="GE55" s="898"/>
      <c r="GF55" s="898"/>
      <c r="GG55" s="898"/>
      <c r="GH55" s="898"/>
      <c r="GI55" s="898"/>
      <c r="GJ55" s="898"/>
      <c r="GK55" s="898"/>
      <c r="GL55" s="898"/>
      <c r="GM55" s="898"/>
      <c r="GN55" s="898"/>
      <c r="GO55" s="898"/>
      <c r="GP55" s="898"/>
      <c r="GQ55" s="898"/>
      <c r="GR55" s="898"/>
      <c r="GS55" s="898"/>
      <c r="GT55" s="898"/>
      <c r="GU55" s="898"/>
      <c r="GV55" s="898"/>
      <c r="GW55" s="898"/>
      <c r="GX55" s="898"/>
      <c r="GY55" s="898"/>
      <c r="GZ55" s="898"/>
      <c r="HA55" s="898"/>
      <c r="HB55" s="898"/>
      <c r="HC55" s="898"/>
      <c r="HD55" s="898"/>
      <c r="HE55" s="898"/>
      <c r="HF55" s="898"/>
      <c r="HG55" s="898"/>
      <c r="HH55" s="898"/>
      <c r="HI55" s="898"/>
      <c r="HJ55" s="898"/>
      <c r="HK55" s="898"/>
      <c r="HL55" s="898"/>
      <c r="HM55" s="898"/>
      <c r="HN55" s="898"/>
      <c r="HO55" s="898"/>
      <c r="HP55" s="898"/>
      <c r="HQ55" s="898"/>
      <c r="HR55" s="898"/>
      <c r="HS55" s="898"/>
      <c r="HT55" s="898"/>
      <c r="HU55" s="898"/>
      <c r="HV55" s="898"/>
      <c r="HW55" s="898"/>
      <c r="HX55" s="898"/>
      <c r="HY55" s="898"/>
      <c r="HZ55" s="898"/>
      <c r="IA55" s="898"/>
      <c r="IB55" s="898"/>
      <c r="IC55" s="898"/>
      <c r="ID55" s="898"/>
      <c r="IE55" s="898"/>
      <c r="IF55" s="898"/>
      <c r="IG55" s="898"/>
      <c r="IH55" s="898"/>
      <c r="II55" s="898"/>
      <c r="IJ55" s="898"/>
      <c r="IK55" s="898"/>
      <c r="IL55" s="898"/>
      <c r="IM55" s="898"/>
      <c r="IN55" s="898"/>
      <c r="IO55" s="898"/>
      <c r="IP55" s="898"/>
      <c r="IQ55" s="898"/>
      <c r="IR55" s="898"/>
      <c r="IS55" s="898"/>
      <c r="IT55" s="898"/>
      <c r="IU55" s="898"/>
      <c r="IV55" s="898"/>
    </row>
    <row r="56" spans="1:256" ht="18">
      <c r="A56" s="898"/>
      <c r="B56" s="898"/>
      <c r="C56" s="898"/>
      <c r="D56" s="898"/>
      <c r="E56" s="898"/>
      <c r="F56" s="898"/>
      <c r="G56" s="898"/>
      <c r="H56" s="898"/>
      <c r="I56" s="898"/>
      <c r="J56" s="898"/>
      <c r="K56" s="898"/>
      <c r="L56" s="898"/>
      <c r="M56" s="898"/>
      <c r="N56" s="898"/>
      <c r="O56" s="911"/>
      <c r="P56" s="911"/>
      <c r="Q56" s="898"/>
      <c r="R56" s="898"/>
      <c r="S56" s="898"/>
      <c r="T56" s="898"/>
      <c r="U56" s="898"/>
      <c r="V56" s="898"/>
      <c r="W56" s="898"/>
      <c r="X56" s="898"/>
      <c r="Y56" s="898"/>
      <c r="Z56" s="898"/>
      <c r="AA56" s="898"/>
      <c r="AB56" s="898"/>
      <c r="AC56" s="898"/>
      <c r="AD56" s="898"/>
      <c r="AE56" s="898"/>
      <c r="AF56" s="898"/>
      <c r="AG56" s="898"/>
      <c r="AH56" s="898"/>
      <c r="AI56" s="898"/>
      <c r="AJ56" s="898"/>
      <c r="AK56" s="898"/>
      <c r="AL56" s="898"/>
      <c r="AM56" s="898"/>
      <c r="AN56" s="898"/>
      <c r="AO56" s="898"/>
      <c r="AP56" s="898"/>
      <c r="AQ56" s="898"/>
      <c r="AR56" s="898"/>
      <c r="AS56" s="898"/>
      <c r="AT56" s="898"/>
      <c r="AU56" s="898"/>
      <c r="AV56" s="898"/>
      <c r="AW56" s="898"/>
      <c r="AX56" s="898"/>
      <c r="AY56" s="898"/>
      <c r="AZ56" s="898"/>
      <c r="BA56" s="898"/>
      <c r="BB56" s="898"/>
      <c r="BC56" s="898"/>
      <c r="BD56" s="898"/>
      <c r="BE56" s="898"/>
      <c r="BF56" s="898"/>
      <c r="BG56" s="898"/>
      <c r="BH56" s="898"/>
      <c r="BI56" s="898"/>
      <c r="BJ56" s="898"/>
      <c r="BK56" s="898"/>
      <c r="BL56" s="898"/>
      <c r="BM56" s="898"/>
      <c r="BN56" s="898"/>
      <c r="BO56" s="898"/>
      <c r="BP56" s="898"/>
      <c r="BQ56" s="898"/>
      <c r="BR56" s="898"/>
      <c r="BS56" s="898"/>
      <c r="BT56" s="898"/>
      <c r="BU56" s="898"/>
      <c r="BV56" s="898"/>
      <c r="BW56" s="898"/>
      <c r="BX56" s="898"/>
      <c r="BY56" s="898"/>
      <c r="BZ56" s="898"/>
      <c r="CA56" s="898"/>
      <c r="CB56" s="898"/>
      <c r="CC56" s="898"/>
      <c r="CD56" s="898"/>
      <c r="CE56" s="898"/>
      <c r="CF56" s="898"/>
      <c r="CG56" s="898"/>
      <c r="CH56" s="898"/>
      <c r="CI56" s="898"/>
      <c r="CJ56" s="898"/>
      <c r="CK56" s="898"/>
      <c r="CL56" s="898"/>
      <c r="CM56" s="898"/>
      <c r="CN56" s="898"/>
      <c r="CO56" s="898"/>
      <c r="CP56" s="898"/>
      <c r="CQ56" s="898"/>
      <c r="CR56" s="898"/>
      <c r="CS56" s="898"/>
      <c r="CT56" s="898"/>
      <c r="CU56" s="898"/>
      <c r="CV56" s="898"/>
      <c r="CW56" s="898"/>
      <c r="CX56" s="898"/>
      <c r="CY56" s="898"/>
      <c r="CZ56" s="898"/>
      <c r="DA56" s="898"/>
      <c r="DB56" s="898"/>
      <c r="DC56" s="898"/>
      <c r="DD56" s="898"/>
      <c r="DE56" s="898"/>
      <c r="DF56" s="898"/>
      <c r="DG56" s="898"/>
      <c r="DH56" s="898"/>
      <c r="DI56" s="898"/>
      <c r="DJ56" s="898"/>
      <c r="DK56" s="898"/>
      <c r="DL56" s="898"/>
      <c r="DM56" s="898"/>
      <c r="DN56" s="898"/>
      <c r="DO56" s="898"/>
      <c r="DP56" s="898"/>
      <c r="DQ56" s="898"/>
      <c r="DR56" s="898"/>
      <c r="DS56" s="898"/>
      <c r="DT56" s="898"/>
      <c r="DU56" s="898"/>
      <c r="DV56" s="898"/>
      <c r="DW56" s="898"/>
      <c r="DX56" s="898"/>
      <c r="DY56" s="898"/>
      <c r="DZ56" s="898"/>
      <c r="EA56" s="898"/>
      <c r="EB56" s="898"/>
      <c r="EC56" s="898"/>
      <c r="ED56" s="898"/>
      <c r="EE56" s="898"/>
      <c r="EF56" s="898"/>
      <c r="EG56" s="898"/>
      <c r="EH56" s="898"/>
      <c r="EI56" s="898"/>
      <c r="EJ56" s="898"/>
      <c r="EK56" s="898"/>
      <c r="EL56" s="898"/>
      <c r="EM56" s="898"/>
      <c r="EN56" s="898"/>
      <c r="EO56" s="898"/>
      <c r="EP56" s="898"/>
      <c r="EQ56" s="898"/>
      <c r="ER56" s="898"/>
      <c r="ES56" s="898"/>
      <c r="ET56" s="898"/>
      <c r="EU56" s="898"/>
      <c r="EV56" s="898"/>
      <c r="EW56" s="898"/>
      <c r="EX56" s="898"/>
      <c r="EY56" s="898"/>
      <c r="EZ56" s="898"/>
      <c r="FA56" s="898"/>
      <c r="FB56" s="898"/>
      <c r="FC56" s="898"/>
      <c r="FD56" s="898"/>
      <c r="FE56" s="898"/>
      <c r="FF56" s="898"/>
      <c r="FG56" s="898"/>
      <c r="FH56" s="898"/>
      <c r="FI56" s="898"/>
      <c r="FJ56" s="898"/>
      <c r="FK56" s="898"/>
      <c r="FL56" s="898"/>
      <c r="FM56" s="898"/>
      <c r="FN56" s="898"/>
      <c r="FO56" s="898"/>
      <c r="FP56" s="898"/>
      <c r="FQ56" s="898"/>
      <c r="FR56" s="898"/>
      <c r="FS56" s="898"/>
      <c r="FT56" s="898"/>
      <c r="FU56" s="898"/>
      <c r="FV56" s="898"/>
      <c r="FW56" s="898"/>
      <c r="FX56" s="898"/>
      <c r="FY56" s="898"/>
      <c r="FZ56" s="898"/>
      <c r="GA56" s="898"/>
      <c r="GB56" s="898"/>
      <c r="GC56" s="898"/>
      <c r="GD56" s="898"/>
      <c r="GE56" s="898"/>
      <c r="GF56" s="898"/>
      <c r="GG56" s="898"/>
      <c r="GH56" s="898"/>
      <c r="GI56" s="898"/>
      <c r="GJ56" s="898"/>
      <c r="GK56" s="898"/>
      <c r="GL56" s="898"/>
      <c r="GM56" s="898"/>
      <c r="GN56" s="898"/>
      <c r="GO56" s="898"/>
      <c r="GP56" s="898"/>
      <c r="GQ56" s="898"/>
      <c r="GR56" s="898"/>
      <c r="GS56" s="898"/>
      <c r="GT56" s="898"/>
      <c r="GU56" s="898"/>
      <c r="GV56" s="898"/>
      <c r="GW56" s="898"/>
      <c r="GX56" s="898"/>
      <c r="GY56" s="898"/>
      <c r="GZ56" s="898"/>
      <c r="HA56" s="898"/>
      <c r="HB56" s="898"/>
      <c r="HC56" s="898"/>
      <c r="HD56" s="898"/>
      <c r="HE56" s="898"/>
      <c r="HF56" s="898"/>
      <c r="HG56" s="898"/>
      <c r="HH56" s="898"/>
      <c r="HI56" s="898"/>
      <c r="HJ56" s="898"/>
      <c r="HK56" s="898"/>
      <c r="HL56" s="898"/>
      <c r="HM56" s="898"/>
      <c r="HN56" s="898"/>
      <c r="HO56" s="898"/>
      <c r="HP56" s="898"/>
      <c r="HQ56" s="898"/>
      <c r="HR56" s="898"/>
      <c r="HS56" s="898"/>
      <c r="HT56" s="898"/>
      <c r="HU56" s="898"/>
      <c r="HV56" s="898"/>
      <c r="HW56" s="898"/>
      <c r="HX56" s="898"/>
      <c r="HY56" s="898"/>
      <c r="HZ56" s="898"/>
      <c r="IA56" s="898"/>
      <c r="IB56" s="898"/>
      <c r="IC56" s="898"/>
      <c r="ID56" s="898"/>
      <c r="IE56" s="898"/>
      <c r="IF56" s="898"/>
      <c r="IG56" s="898"/>
      <c r="IH56" s="898"/>
      <c r="II56" s="898"/>
      <c r="IJ56" s="898"/>
      <c r="IK56" s="898"/>
      <c r="IL56" s="898"/>
      <c r="IM56" s="898"/>
      <c r="IN56" s="898"/>
      <c r="IO56" s="898"/>
      <c r="IP56" s="898"/>
      <c r="IQ56" s="898"/>
      <c r="IR56" s="898"/>
      <c r="IS56" s="898"/>
      <c r="IT56" s="898"/>
      <c r="IU56" s="898"/>
      <c r="IV56" s="898"/>
    </row>
    <row r="57" spans="1:256" ht="18">
      <c r="A57" s="898"/>
      <c r="B57" s="898"/>
      <c r="C57" s="898"/>
      <c r="D57" s="898"/>
      <c r="E57" s="898"/>
      <c r="F57" s="898"/>
      <c r="G57" s="898"/>
      <c r="H57" s="898"/>
      <c r="I57" s="898"/>
      <c r="J57" s="898"/>
      <c r="K57" s="898"/>
      <c r="L57" s="898"/>
      <c r="M57" s="898"/>
      <c r="N57" s="898"/>
      <c r="O57" s="911"/>
      <c r="P57" s="911"/>
      <c r="Q57" s="898"/>
      <c r="R57" s="898"/>
      <c r="S57" s="898"/>
      <c r="T57" s="898"/>
      <c r="U57" s="898"/>
      <c r="V57" s="898"/>
      <c r="W57" s="898"/>
      <c r="X57" s="898"/>
      <c r="Y57" s="898"/>
      <c r="Z57" s="898"/>
      <c r="AA57" s="898"/>
      <c r="AB57" s="898"/>
      <c r="AC57" s="898"/>
      <c r="AD57" s="898"/>
      <c r="AE57" s="898"/>
      <c r="AF57" s="898"/>
      <c r="AG57" s="898"/>
      <c r="AH57" s="898"/>
      <c r="AI57" s="898"/>
      <c r="AJ57" s="898"/>
      <c r="AK57" s="898"/>
      <c r="AL57" s="898"/>
      <c r="AM57" s="898"/>
      <c r="AN57" s="898"/>
      <c r="AO57" s="898"/>
      <c r="AP57" s="898"/>
      <c r="AQ57" s="898"/>
      <c r="AR57" s="898"/>
      <c r="AS57" s="898"/>
      <c r="AT57" s="898"/>
      <c r="AU57" s="898"/>
      <c r="AV57" s="898"/>
      <c r="AW57" s="898"/>
      <c r="AX57" s="898"/>
      <c r="AY57" s="898"/>
      <c r="AZ57" s="898"/>
      <c r="BA57" s="898"/>
      <c r="BB57" s="898"/>
      <c r="BC57" s="898"/>
      <c r="BD57" s="898"/>
      <c r="BE57" s="898"/>
      <c r="BF57" s="898"/>
      <c r="BG57" s="898"/>
      <c r="BH57" s="898"/>
      <c r="BI57" s="898"/>
      <c r="BJ57" s="898"/>
      <c r="BK57" s="898"/>
      <c r="BL57" s="898"/>
      <c r="BM57" s="898"/>
      <c r="BN57" s="898"/>
      <c r="BO57" s="898"/>
      <c r="BP57" s="898"/>
      <c r="BQ57" s="898"/>
      <c r="BR57" s="898"/>
      <c r="BS57" s="898"/>
      <c r="BT57" s="898"/>
      <c r="BU57" s="898"/>
      <c r="BV57" s="898"/>
      <c r="BW57" s="898"/>
      <c r="BX57" s="898"/>
      <c r="BY57" s="898"/>
      <c r="BZ57" s="898"/>
      <c r="CA57" s="898"/>
      <c r="CB57" s="898"/>
      <c r="CC57" s="898"/>
      <c r="CD57" s="898"/>
      <c r="CE57" s="898"/>
      <c r="CF57" s="898"/>
      <c r="CG57" s="898"/>
      <c r="CH57" s="898"/>
      <c r="CI57" s="898"/>
      <c r="CJ57" s="898"/>
      <c r="CK57" s="898"/>
      <c r="CL57" s="898"/>
      <c r="CM57" s="898"/>
      <c r="CN57" s="898"/>
      <c r="CO57" s="898"/>
      <c r="CP57" s="898"/>
      <c r="CQ57" s="898"/>
      <c r="CR57" s="898"/>
      <c r="CS57" s="898"/>
      <c r="CT57" s="898"/>
      <c r="CU57" s="898"/>
      <c r="CV57" s="898"/>
      <c r="CW57" s="898"/>
      <c r="CX57" s="898"/>
      <c r="CY57" s="898"/>
      <c r="CZ57" s="898"/>
      <c r="DA57" s="898"/>
      <c r="DB57" s="898"/>
      <c r="DC57" s="898"/>
      <c r="DD57" s="898"/>
      <c r="DE57" s="898"/>
      <c r="DF57" s="898"/>
      <c r="DG57" s="898"/>
      <c r="DH57" s="898"/>
      <c r="DI57" s="898"/>
      <c r="DJ57" s="898"/>
      <c r="DK57" s="898"/>
      <c r="DL57" s="898"/>
      <c r="DM57" s="898"/>
      <c r="DN57" s="898"/>
      <c r="DO57" s="898"/>
      <c r="DP57" s="898"/>
      <c r="DQ57" s="898"/>
      <c r="DR57" s="898"/>
      <c r="DS57" s="898"/>
      <c r="DT57" s="898"/>
      <c r="DU57" s="898"/>
      <c r="DV57" s="898"/>
      <c r="DW57" s="898"/>
      <c r="DX57" s="898"/>
      <c r="DY57" s="898"/>
      <c r="DZ57" s="898"/>
      <c r="EA57" s="898"/>
      <c r="EB57" s="898"/>
      <c r="EC57" s="898"/>
      <c r="ED57" s="898"/>
      <c r="EE57" s="898"/>
      <c r="EF57" s="898"/>
      <c r="EG57" s="898"/>
      <c r="EH57" s="898"/>
      <c r="EI57" s="898"/>
      <c r="EJ57" s="898"/>
      <c r="EK57" s="898"/>
      <c r="EL57" s="898"/>
      <c r="EM57" s="898"/>
      <c r="EN57" s="898"/>
      <c r="EO57" s="898"/>
      <c r="EP57" s="898"/>
      <c r="EQ57" s="898"/>
      <c r="ER57" s="898"/>
      <c r="ES57" s="898"/>
      <c r="ET57" s="898"/>
      <c r="EU57" s="898"/>
      <c r="EV57" s="898"/>
      <c r="EW57" s="898"/>
      <c r="EX57" s="898"/>
      <c r="EY57" s="898"/>
      <c r="EZ57" s="898"/>
      <c r="FA57" s="898"/>
      <c r="FB57" s="898"/>
      <c r="FC57" s="898"/>
      <c r="FD57" s="898"/>
      <c r="FE57" s="898"/>
      <c r="FF57" s="898"/>
      <c r="FG57" s="898"/>
      <c r="FH57" s="898"/>
      <c r="FI57" s="898"/>
      <c r="FJ57" s="898"/>
      <c r="FK57" s="898"/>
      <c r="FL57" s="898"/>
      <c r="FM57" s="898"/>
      <c r="FN57" s="898"/>
      <c r="FO57" s="898"/>
      <c r="FP57" s="898"/>
      <c r="FQ57" s="898"/>
      <c r="FR57" s="898"/>
      <c r="FS57" s="898"/>
      <c r="FT57" s="898"/>
      <c r="FU57" s="898"/>
      <c r="FV57" s="898"/>
      <c r="FW57" s="898"/>
      <c r="FX57" s="898"/>
      <c r="FY57" s="898"/>
      <c r="FZ57" s="898"/>
      <c r="GA57" s="898"/>
      <c r="GB57" s="898"/>
      <c r="GC57" s="898"/>
      <c r="GD57" s="898"/>
      <c r="GE57" s="898"/>
      <c r="GF57" s="898"/>
      <c r="GG57" s="898"/>
      <c r="GH57" s="898"/>
      <c r="GI57" s="898"/>
      <c r="GJ57" s="898"/>
      <c r="GK57" s="898"/>
      <c r="GL57" s="898"/>
      <c r="GM57" s="898"/>
      <c r="GN57" s="898"/>
      <c r="GO57" s="898"/>
      <c r="GP57" s="898"/>
      <c r="GQ57" s="898"/>
      <c r="GR57" s="898"/>
      <c r="GS57" s="898"/>
      <c r="GT57" s="898"/>
      <c r="GU57" s="898"/>
      <c r="GV57" s="898"/>
      <c r="GW57" s="898"/>
      <c r="GX57" s="898"/>
      <c r="GY57" s="898"/>
      <c r="GZ57" s="898"/>
      <c r="HA57" s="898"/>
      <c r="HB57" s="898"/>
      <c r="HC57" s="898"/>
      <c r="HD57" s="898"/>
      <c r="HE57" s="898"/>
      <c r="HF57" s="898"/>
      <c r="HG57" s="898"/>
      <c r="HH57" s="898"/>
      <c r="HI57" s="898"/>
      <c r="HJ57" s="898"/>
      <c r="HK57" s="898"/>
      <c r="HL57" s="898"/>
      <c r="HM57" s="898"/>
      <c r="HN57" s="898"/>
      <c r="HO57" s="898"/>
      <c r="HP57" s="898"/>
      <c r="HQ57" s="898"/>
      <c r="HR57" s="898"/>
      <c r="HS57" s="898"/>
      <c r="HT57" s="898"/>
      <c r="HU57" s="898"/>
      <c r="HV57" s="898"/>
      <c r="HW57" s="898"/>
      <c r="HX57" s="898"/>
      <c r="HY57" s="898"/>
      <c r="HZ57" s="898"/>
      <c r="IA57" s="898"/>
      <c r="IB57" s="898"/>
      <c r="IC57" s="898"/>
      <c r="ID57" s="898"/>
      <c r="IE57" s="898"/>
      <c r="IF57" s="898"/>
      <c r="IG57" s="898"/>
      <c r="IH57" s="898"/>
      <c r="II57" s="898"/>
      <c r="IJ57" s="898"/>
      <c r="IK57" s="898"/>
      <c r="IL57" s="898"/>
      <c r="IM57" s="898"/>
      <c r="IN57" s="898"/>
      <c r="IO57" s="898"/>
      <c r="IP57" s="898"/>
      <c r="IQ57" s="898"/>
      <c r="IR57" s="898"/>
      <c r="IS57" s="898"/>
      <c r="IT57" s="898"/>
      <c r="IU57" s="898"/>
      <c r="IV57" s="898"/>
    </row>
    <row r="58" spans="1:256" ht="18">
      <c r="A58" s="898"/>
      <c r="B58" s="898"/>
      <c r="C58" s="898"/>
      <c r="D58" s="898"/>
      <c r="E58" s="898"/>
      <c r="F58" s="898"/>
      <c r="G58" s="898"/>
      <c r="H58" s="898"/>
      <c r="I58" s="898"/>
      <c r="J58" s="898"/>
      <c r="K58" s="898"/>
      <c r="L58" s="898"/>
      <c r="M58" s="898"/>
      <c r="N58" s="898"/>
      <c r="O58" s="911"/>
      <c r="P58" s="911"/>
      <c r="Q58" s="898"/>
      <c r="R58" s="898"/>
      <c r="S58" s="898"/>
      <c r="T58" s="898"/>
      <c r="U58" s="898"/>
      <c r="V58" s="898"/>
      <c r="W58" s="898"/>
      <c r="X58" s="898"/>
      <c r="Y58" s="898"/>
      <c r="Z58" s="898"/>
      <c r="AA58" s="898"/>
      <c r="AB58" s="898"/>
      <c r="AC58" s="898"/>
      <c r="AD58" s="898"/>
      <c r="AE58" s="898"/>
      <c r="AF58" s="898"/>
      <c r="AG58" s="898"/>
      <c r="AH58" s="898"/>
      <c r="AI58" s="898"/>
      <c r="AJ58" s="898"/>
      <c r="AK58" s="898"/>
      <c r="AL58" s="898"/>
      <c r="AM58" s="898"/>
      <c r="AN58" s="898"/>
      <c r="AO58" s="898"/>
      <c r="AP58" s="898"/>
      <c r="AQ58" s="898"/>
      <c r="AR58" s="898"/>
      <c r="AS58" s="898"/>
      <c r="AT58" s="898"/>
      <c r="AU58" s="898"/>
      <c r="AV58" s="898"/>
      <c r="AW58" s="898"/>
      <c r="AX58" s="898"/>
      <c r="AY58" s="898"/>
      <c r="AZ58" s="898"/>
      <c r="BA58" s="898"/>
      <c r="BB58" s="898"/>
      <c r="BC58" s="898"/>
      <c r="BD58" s="898"/>
      <c r="BE58" s="898"/>
      <c r="BF58" s="898"/>
      <c r="BG58" s="898"/>
      <c r="BH58" s="898"/>
      <c r="BI58" s="898"/>
      <c r="BJ58" s="898"/>
      <c r="BK58" s="898"/>
      <c r="BL58" s="898"/>
      <c r="BM58" s="898"/>
      <c r="BN58" s="898"/>
      <c r="BO58" s="898"/>
      <c r="BP58" s="898"/>
      <c r="BQ58" s="898"/>
      <c r="BR58" s="898"/>
      <c r="BS58" s="898"/>
      <c r="BT58" s="898"/>
      <c r="BU58" s="898"/>
      <c r="BV58" s="898"/>
      <c r="BW58" s="898"/>
      <c r="BX58" s="898"/>
      <c r="BY58" s="898"/>
      <c r="BZ58" s="898"/>
      <c r="CA58" s="898"/>
      <c r="CB58" s="898"/>
      <c r="CC58" s="898"/>
      <c r="CD58" s="898"/>
      <c r="CE58" s="898"/>
      <c r="CF58" s="898"/>
      <c r="CG58" s="898"/>
      <c r="CH58" s="898"/>
      <c r="CI58" s="898"/>
      <c r="CJ58" s="898"/>
      <c r="CK58" s="898"/>
      <c r="CL58" s="898"/>
      <c r="CM58" s="898"/>
      <c r="CN58" s="898"/>
      <c r="CO58" s="898"/>
      <c r="CP58" s="898"/>
      <c r="CQ58" s="898"/>
      <c r="CR58" s="898"/>
      <c r="CS58" s="898"/>
      <c r="CT58" s="898"/>
      <c r="CU58" s="898"/>
      <c r="CV58" s="898"/>
      <c r="CW58" s="898"/>
      <c r="CX58" s="898"/>
      <c r="CY58" s="898"/>
      <c r="CZ58" s="898"/>
      <c r="DA58" s="898"/>
      <c r="DB58" s="898"/>
      <c r="DC58" s="898"/>
      <c r="DD58" s="898"/>
      <c r="DE58" s="898"/>
      <c r="DF58" s="898"/>
      <c r="DG58" s="898"/>
      <c r="DH58" s="898"/>
      <c r="DI58" s="898"/>
      <c r="DJ58" s="898"/>
      <c r="DK58" s="898"/>
      <c r="DL58" s="898"/>
      <c r="DM58" s="898"/>
      <c r="DN58" s="898"/>
      <c r="DO58" s="898"/>
      <c r="DP58" s="898"/>
      <c r="DQ58" s="898"/>
      <c r="DR58" s="898"/>
      <c r="DS58" s="898"/>
      <c r="DT58" s="898"/>
      <c r="DU58" s="898"/>
      <c r="DV58" s="898"/>
      <c r="DW58" s="898"/>
      <c r="DX58" s="898"/>
      <c r="DY58" s="898"/>
      <c r="DZ58" s="898"/>
      <c r="EA58" s="898"/>
      <c r="EB58" s="898"/>
      <c r="EC58" s="898"/>
      <c r="ED58" s="898"/>
      <c r="EE58" s="898"/>
      <c r="EF58" s="898"/>
      <c r="EG58" s="898"/>
      <c r="EH58" s="898"/>
      <c r="EI58" s="898"/>
      <c r="EJ58" s="898"/>
      <c r="EK58" s="898"/>
      <c r="EL58" s="898"/>
      <c r="EM58" s="898"/>
      <c r="EN58" s="898"/>
      <c r="EO58" s="898"/>
      <c r="EP58" s="898"/>
      <c r="EQ58" s="898"/>
      <c r="ER58" s="898"/>
      <c r="ES58" s="898"/>
      <c r="ET58" s="898"/>
      <c r="EU58" s="898"/>
      <c r="EV58" s="898"/>
      <c r="EW58" s="898"/>
      <c r="EX58" s="898"/>
      <c r="EY58" s="898"/>
      <c r="EZ58" s="898"/>
      <c r="FA58" s="898"/>
      <c r="FB58" s="898"/>
      <c r="FC58" s="898"/>
      <c r="FD58" s="898"/>
      <c r="FE58" s="898"/>
      <c r="FF58" s="898"/>
      <c r="FG58" s="898"/>
      <c r="FH58" s="898"/>
      <c r="FI58" s="898"/>
      <c r="FJ58" s="898"/>
      <c r="FK58" s="898"/>
      <c r="FL58" s="898"/>
      <c r="FM58" s="898"/>
      <c r="FN58" s="898"/>
      <c r="FO58" s="898"/>
      <c r="FP58" s="898"/>
      <c r="FQ58" s="898"/>
      <c r="FR58" s="898"/>
      <c r="FS58" s="898"/>
      <c r="FT58" s="898"/>
      <c r="FU58" s="898"/>
      <c r="FV58" s="898"/>
      <c r="FW58" s="898"/>
      <c r="FX58" s="898"/>
      <c r="FY58" s="898"/>
      <c r="FZ58" s="898"/>
      <c r="GA58" s="898"/>
      <c r="GB58" s="898"/>
      <c r="GC58" s="898"/>
      <c r="GD58" s="898"/>
      <c r="GE58" s="898"/>
      <c r="GF58" s="898"/>
      <c r="GG58" s="898"/>
      <c r="GH58" s="898"/>
      <c r="GI58" s="898"/>
      <c r="GJ58" s="898"/>
      <c r="GK58" s="898"/>
      <c r="GL58" s="898"/>
      <c r="GM58" s="898"/>
      <c r="GN58" s="898"/>
      <c r="GO58" s="898"/>
      <c r="GP58" s="898"/>
      <c r="GQ58" s="898"/>
      <c r="GR58" s="898"/>
      <c r="GS58" s="898"/>
      <c r="GT58" s="898"/>
      <c r="GU58" s="898"/>
      <c r="GV58" s="898"/>
      <c r="GW58" s="898"/>
      <c r="GX58" s="898"/>
      <c r="GY58" s="898"/>
      <c r="GZ58" s="898"/>
      <c r="HA58" s="898"/>
      <c r="HB58" s="898"/>
      <c r="HC58" s="898"/>
      <c r="HD58" s="898"/>
      <c r="HE58" s="898"/>
      <c r="HF58" s="898"/>
      <c r="HG58" s="898"/>
      <c r="HH58" s="898"/>
      <c r="HI58" s="898"/>
      <c r="HJ58" s="898"/>
      <c r="HK58" s="898"/>
      <c r="HL58" s="898"/>
      <c r="HM58" s="898"/>
      <c r="HN58" s="898"/>
      <c r="HO58" s="898"/>
      <c r="HP58" s="898"/>
      <c r="HQ58" s="898"/>
      <c r="HR58" s="898"/>
      <c r="HS58" s="898"/>
      <c r="HT58" s="898"/>
      <c r="HU58" s="898"/>
      <c r="HV58" s="898"/>
      <c r="HW58" s="898"/>
      <c r="HX58" s="898"/>
      <c r="HY58" s="898"/>
      <c r="HZ58" s="898"/>
      <c r="IA58" s="898"/>
      <c r="IB58" s="898"/>
      <c r="IC58" s="898"/>
      <c r="ID58" s="898"/>
      <c r="IE58" s="898"/>
      <c r="IF58" s="898"/>
      <c r="IG58" s="898"/>
      <c r="IH58" s="898"/>
      <c r="II58" s="898"/>
      <c r="IJ58" s="898"/>
      <c r="IK58" s="898"/>
      <c r="IL58" s="898"/>
      <c r="IM58" s="898"/>
      <c r="IN58" s="898"/>
      <c r="IO58" s="898"/>
      <c r="IP58" s="898"/>
      <c r="IQ58" s="898"/>
      <c r="IR58" s="898"/>
      <c r="IS58" s="898"/>
      <c r="IT58" s="898"/>
      <c r="IU58" s="898"/>
      <c r="IV58" s="898"/>
    </row>
    <row r="59" spans="1:256" ht="18">
      <c r="A59" s="898"/>
      <c r="B59" s="898"/>
      <c r="C59" s="898"/>
      <c r="D59" s="898"/>
      <c r="E59" s="898"/>
      <c r="F59" s="898"/>
      <c r="G59" s="898"/>
      <c r="H59" s="898"/>
      <c r="I59" s="898"/>
      <c r="J59" s="898"/>
      <c r="K59" s="898"/>
      <c r="L59" s="898"/>
      <c r="M59" s="898"/>
      <c r="N59" s="898"/>
      <c r="O59" s="911"/>
      <c r="P59" s="911"/>
      <c r="Q59" s="898"/>
      <c r="R59" s="898"/>
      <c r="S59" s="898"/>
      <c r="T59" s="898"/>
      <c r="U59" s="898"/>
      <c r="V59" s="898"/>
      <c r="W59" s="898"/>
      <c r="X59" s="898"/>
      <c r="Y59" s="898"/>
      <c r="Z59" s="898"/>
      <c r="AA59" s="898"/>
      <c r="AB59" s="898"/>
      <c r="AC59" s="898"/>
      <c r="AD59" s="898"/>
      <c r="AE59" s="898"/>
      <c r="AF59" s="898"/>
      <c r="AG59" s="898"/>
      <c r="AH59" s="898"/>
      <c r="AI59" s="898"/>
      <c r="AJ59" s="898"/>
      <c r="AK59" s="898"/>
      <c r="AL59" s="898"/>
      <c r="AM59" s="898"/>
      <c r="AN59" s="898"/>
      <c r="AO59" s="898"/>
      <c r="AP59" s="898"/>
      <c r="AQ59" s="898"/>
      <c r="AR59" s="898"/>
      <c r="AS59" s="898"/>
      <c r="AT59" s="898"/>
      <c r="AU59" s="898"/>
      <c r="AV59" s="898"/>
      <c r="AW59" s="898"/>
      <c r="AX59" s="898"/>
      <c r="AY59" s="898"/>
      <c r="AZ59" s="898"/>
      <c r="BA59" s="898"/>
      <c r="BB59" s="898"/>
      <c r="BC59" s="898"/>
      <c r="BD59" s="898"/>
      <c r="BE59" s="898"/>
      <c r="BF59" s="898"/>
      <c r="BG59" s="898"/>
      <c r="BH59" s="898"/>
      <c r="BI59" s="898"/>
      <c r="BJ59" s="898"/>
      <c r="BK59" s="898"/>
      <c r="BL59" s="898"/>
      <c r="BM59" s="898"/>
      <c r="BN59" s="898"/>
      <c r="BO59" s="898"/>
      <c r="BP59" s="898"/>
      <c r="BQ59" s="898"/>
      <c r="BR59" s="898"/>
      <c r="BS59" s="898"/>
      <c r="BT59" s="898"/>
      <c r="BU59" s="898"/>
      <c r="BV59" s="898"/>
      <c r="BW59" s="898"/>
      <c r="BX59" s="898"/>
      <c r="BY59" s="898"/>
      <c r="BZ59" s="898"/>
      <c r="CA59" s="898"/>
      <c r="CB59" s="898"/>
      <c r="CC59" s="898"/>
      <c r="CD59" s="898"/>
      <c r="CE59" s="898"/>
      <c r="CF59" s="898"/>
      <c r="CG59" s="898"/>
      <c r="CH59" s="898"/>
      <c r="CI59" s="898"/>
      <c r="CJ59" s="898"/>
      <c r="CK59" s="898"/>
      <c r="CL59" s="898"/>
      <c r="CM59" s="898"/>
      <c r="CN59" s="898"/>
      <c r="CO59" s="898"/>
      <c r="CP59" s="898"/>
      <c r="CQ59" s="898"/>
      <c r="CR59" s="898"/>
      <c r="CS59" s="898"/>
      <c r="CT59" s="898"/>
      <c r="CU59" s="898"/>
      <c r="CV59" s="898"/>
      <c r="CW59" s="898"/>
      <c r="CX59" s="898"/>
      <c r="CY59" s="898"/>
      <c r="CZ59" s="898"/>
      <c r="DA59" s="898"/>
      <c r="DB59" s="898"/>
      <c r="DC59" s="898"/>
      <c r="DD59" s="898"/>
      <c r="DE59" s="898"/>
      <c r="DF59" s="898"/>
      <c r="DG59" s="898"/>
      <c r="DH59" s="898"/>
      <c r="DI59" s="898"/>
      <c r="DJ59" s="898"/>
      <c r="DK59" s="898"/>
      <c r="DL59" s="898"/>
      <c r="DM59" s="898"/>
      <c r="DN59" s="898"/>
      <c r="DO59" s="898"/>
      <c r="DP59" s="898"/>
      <c r="DQ59" s="898"/>
      <c r="DR59" s="898"/>
      <c r="DS59" s="898"/>
      <c r="DT59" s="898"/>
      <c r="DU59" s="898"/>
      <c r="DV59" s="898"/>
      <c r="DW59" s="898"/>
      <c r="DX59" s="898"/>
      <c r="DY59" s="898"/>
      <c r="DZ59" s="898"/>
      <c r="EA59" s="898"/>
      <c r="EB59" s="898"/>
      <c r="EC59" s="898"/>
      <c r="ED59" s="898"/>
      <c r="EE59" s="898"/>
      <c r="EF59" s="898"/>
      <c r="EG59" s="898"/>
      <c r="EH59" s="898"/>
      <c r="EI59" s="898"/>
      <c r="EJ59" s="898"/>
      <c r="EK59" s="898"/>
      <c r="EL59" s="898"/>
      <c r="EM59" s="898"/>
      <c r="EN59" s="898"/>
      <c r="EO59" s="898"/>
      <c r="EP59" s="898"/>
      <c r="EQ59" s="898"/>
      <c r="ER59" s="898"/>
      <c r="ES59" s="898"/>
      <c r="ET59" s="898"/>
      <c r="EU59" s="898"/>
      <c r="EV59" s="898"/>
      <c r="EW59" s="898"/>
      <c r="EX59" s="898"/>
      <c r="EY59" s="898"/>
      <c r="EZ59" s="898"/>
      <c r="FA59" s="898"/>
      <c r="FB59" s="898"/>
      <c r="FC59" s="898"/>
      <c r="FD59" s="898"/>
      <c r="FE59" s="898"/>
      <c r="FF59" s="898"/>
      <c r="FG59" s="898"/>
      <c r="FH59" s="898"/>
      <c r="FI59" s="898"/>
      <c r="FJ59" s="898"/>
      <c r="FK59" s="898"/>
      <c r="FL59" s="898"/>
      <c r="FM59" s="898"/>
      <c r="FN59" s="898"/>
      <c r="FO59" s="898"/>
      <c r="FP59" s="898"/>
      <c r="FQ59" s="898"/>
      <c r="FR59" s="898"/>
      <c r="FS59" s="898"/>
      <c r="FT59" s="898"/>
      <c r="FU59" s="898"/>
      <c r="FV59" s="898"/>
      <c r="FW59" s="898"/>
      <c r="FX59" s="898"/>
      <c r="FY59" s="898"/>
      <c r="FZ59" s="898"/>
      <c r="GA59" s="898"/>
      <c r="GB59" s="898"/>
      <c r="GC59" s="898"/>
      <c r="GD59" s="898"/>
      <c r="GE59" s="898"/>
      <c r="GF59" s="898"/>
      <c r="GG59" s="898"/>
      <c r="GH59" s="898"/>
      <c r="GI59" s="898"/>
      <c r="GJ59" s="898"/>
      <c r="GK59" s="898"/>
      <c r="GL59" s="898"/>
      <c r="GM59" s="898"/>
      <c r="GN59" s="898"/>
      <c r="GO59" s="898"/>
      <c r="GP59" s="898"/>
      <c r="GQ59" s="898"/>
      <c r="GR59" s="898"/>
      <c r="GS59" s="898"/>
      <c r="GT59" s="898"/>
      <c r="GU59" s="898"/>
      <c r="GV59" s="898"/>
      <c r="GW59" s="898"/>
      <c r="GX59" s="898"/>
      <c r="GY59" s="898"/>
      <c r="GZ59" s="898"/>
      <c r="HA59" s="898"/>
      <c r="HB59" s="898"/>
      <c r="HC59" s="898"/>
      <c r="HD59" s="898"/>
      <c r="HE59" s="898"/>
      <c r="HF59" s="898"/>
      <c r="HG59" s="898"/>
      <c r="HH59" s="898"/>
      <c r="HI59" s="898"/>
      <c r="HJ59" s="898"/>
      <c r="HK59" s="898"/>
      <c r="HL59" s="898"/>
      <c r="HM59" s="898"/>
      <c r="HN59" s="898"/>
      <c r="HO59" s="898"/>
      <c r="HP59" s="898"/>
      <c r="HQ59" s="898"/>
      <c r="HR59" s="898"/>
      <c r="HS59" s="898"/>
      <c r="HT59" s="898"/>
      <c r="HU59" s="898"/>
      <c r="HV59" s="898"/>
      <c r="HW59" s="898"/>
      <c r="HX59" s="898"/>
      <c r="HY59" s="898"/>
      <c r="HZ59" s="898"/>
      <c r="IA59" s="898"/>
      <c r="IB59" s="898"/>
      <c r="IC59" s="898"/>
      <c r="ID59" s="898"/>
      <c r="IE59" s="898"/>
      <c r="IF59" s="898"/>
      <c r="IG59" s="898"/>
      <c r="IH59" s="898"/>
      <c r="II59" s="898"/>
      <c r="IJ59" s="898"/>
      <c r="IK59" s="898"/>
      <c r="IL59" s="898"/>
      <c r="IM59" s="898"/>
      <c r="IN59" s="898"/>
      <c r="IO59" s="898"/>
      <c r="IP59" s="898"/>
      <c r="IQ59" s="898"/>
      <c r="IR59" s="898"/>
      <c r="IS59" s="898"/>
      <c r="IT59" s="898"/>
      <c r="IU59" s="898"/>
      <c r="IV59" s="898"/>
    </row>
    <row r="60" spans="1:256" ht="18">
      <c r="A60" s="898"/>
      <c r="B60" s="898"/>
      <c r="C60" s="898"/>
      <c r="D60" s="913"/>
      <c r="E60" s="898"/>
      <c r="F60" s="898"/>
      <c r="G60" s="898"/>
      <c r="H60" s="898"/>
      <c r="I60" s="898"/>
      <c r="J60" s="913"/>
      <c r="K60" s="898"/>
      <c r="L60" s="913"/>
      <c r="M60" s="898"/>
      <c r="N60" s="898"/>
      <c r="O60" s="911"/>
      <c r="P60" s="911"/>
      <c r="Q60" s="898"/>
      <c r="R60" s="898"/>
      <c r="S60" s="898"/>
      <c r="T60" s="898"/>
      <c r="U60" s="898"/>
      <c r="V60" s="898"/>
      <c r="W60" s="898"/>
      <c r="X60" s="898"/>
      <c r="Y60" s="898"/>
      <c r="Z60" s="898"/>
      <c r="AA60" s="898"/>
      <c r="AB60" s="898"/>
      <c r="AC60" s="898"/>
      <c r="AD60" s="898"/>
      <c r="AE60" s="898"/>
      <c r="AF60" s="898"/>
      <c r="AG60" s="898"/>
      <c r="AH60" s="898"/>
      <c r="AI60" s="898"/>
      <c r="AJ60" s="898"/>
      <c r="AK60" s="898"/>
      <c r="AL60" s="898"/>
      <c r="AM60" s="898"/>
      <c r="AN60" s="898"/>
      <c r="AO60" s="898"/>
      <c r="AP60" s="898"/>
      <c r="AQ60" s="898"/>
      <c r="AR60" s="898"/>
      <c r="AS60" s="898"/>
      <c r="AT60" s="898"/>
      <c r="AU60" s="898"/>
      <c r="AV60" s="898"/>
      <c r="AW60" s="898"/>
      <c r="AX60" s="898"/>
      <c r="AY60" s="898"/>
      <c r="AZ60" s="898"/>
      <c r="BA60" s="898"/>
      <c r="BB60" s="898"/>
      <c r="BC60" s="898"/>
      <c r="BD60" s="898"/>
      <c r="BE60" s="898"/>
      <c r="BF60" s="898"/>
      <c r="BG60" s="898"/>
      <c r="BH60" s="898"/>
      <c r="BI60" s="898"/>
      <c r="BJ60" s="898"/>
      <c r="BK60" s="898"/>
      <c r="BL60" s="898"/>
      <c r="BM60" s="898"/>
      <c r="BN60" s="898"/>
      <c r="BO60" s="898"/>
      <c r="BP60" s="898"/>
      <c r="BQ60" s="898"/>
      <c r="BR60" s="898"/>
      <c r="BS60" s="898"/>
      <c r="BT60" s="898"/>
      <c r="BU60" s="898"/>
      <c r="BV60" s="898"/>
      <c r="BW60" s="898"/>
      <c r="BX60" s="898"/>
      <c r="BY60" s="898"/>
      <c r="BZ60" s="898"/>
      <c r="CA60" s="898"/>
      <c r="CB60" s="898"/>
      <c r="CC60" s="898"/>
      <c r="CD60" s="898"/>
      <c r="CE60" s="898"/>
      <c r="CF60" s="898"/>
      <c r="CG60" s="898"/>
      <c r="CH60" s="898"/>
      <c r="CI60" s="898"/>
      <c r="CJ60" s="898"/>
      <c r="CK60" s="898"/>
      <c r="CL60" s="898"/>
      <c r="CM60" s="898"/>
      <c r="CN60" s="898"/>
      <c r="CO60" s="898"/>
      <c r="CP60" s="898"/>
      <c r="CQ60" s="898"/>
      <c r="CR60" s="898"/>
      <c r="CS60" s="898"/>
      <c r="CT60" s="898"/>
      <c r="CU60" s="898"/>
      <c r="CV60" s="898"/>
      <c r="CW60" s="898"/>
      <c r="CX60" s="898"/>
      <c r="CY60" s="898"/>
      <c r="CZ60" s="898"/>
      <c r="DA60" s="898"/>
      <c r="DB60" s="898"/>
      <c r="DC60" s="898"/>
      <c r="DD60" s="898"/>
      <c r="DE60" s="898"/>
      <c r="DF60" s="898"/>
      <c r="DG60" s="898"/>
      <c r="DH60" s="898"/>
      <c r="DI60" s="898"/>
      <c r="DJ60" s="898"/>
      <c r="DK60" s="898"/>
      <c r="DL60" s="898"/>
      <c r="DM60" s="898"/>
      <c r="DN60" s="898"/>
      <c r="DO60" s="898"/>
      <c r="DP60" s="898"/>
      <c r="DQ60" s="898"/>
      <c r="DR60" s="898"/>
      <c r="DS60" s="898"/>
      <c r="DT60" s="898"/>
      <c r="DU60" s="898"/>
      <c r="DV60" s="898"/>
      <c r="DW60" s="898"/>
      <c r="DX60" s="898"/>
      <c r="DY60" s="898"/>
      <c r="DZ60" s="898"/>
      <c r="EA60" s="898"/>
      <c r="EB60" s="898"/>
      <c r="EC60" s="898"/>
      <c r="ED60" s="898"/>
      <c r="EE60" s="898"/>
      <c r="EF60" s="898"/>
      <c r="EG60" s="898"/>
      <c r="EH60" s="898"/>
      <c r="EI60" s="898"/>
      <c r="EJ60" s="898"/>
      <c r="EK60" s="898"/>
      <c r="EL60" s="898"/>
      <c r="EM60" s="898"/>
      <c r="EN60" s="898"/>
      <c r="EO60" s="898"/>
      <c r="EP60" s="898"/>
      <c r="EQ60" s="898"/>
      <c r="ER60" s="898"/>
      <c r="ES60" s="898"/>
      <c r="ET60" s="898"/>
      <c r="EU60" s="898"/>
      <c r="EV60" s="898"/>
      <c r="EW60" s="898"/>
      <c r="EX60" s="898"/>
      <c r="EY60" s="898"/>
      <c r="EZ60" s="898"/>
      <c r="FA60" s="898"/>
      <c r="FB60" s="898"/>
      <c r="FC60" s="898"/>
      <c r="FD60" s="898"/>
      <c r="FE60" s="898"/>
      <c r="FF60" s="898"/>
      <c r="FG60" s="898"/>
      <c r="FH60" s="898"/>
      <c r="FI60" s="898"/>
      <c r="FJ60" s="898"/>
      <c r="FK60" s="898"/>
      <c r="FL60" s="898"/>
      <c r="FM60" s="898"/>
      <c r="FN60" s="898"/>
      <c r="FO60" s="898"/>
      <c r="FP60" s="898"/>
      <c r="FQ60" s="898"/>
      <c r="FR60" s="898"/>
      <c r="FS60" s="898"/>
      <c r="FT60" s="898"/>
      <c r="FU60" s="898"/>
      <c r="FV60" s="898"/>
      <c r="FW60" s="898"/>
      <c r="FX60" s="898"/>
      <c r="FY60" s="898"/>
      <c r="FZ60" s="898"/>
      <c r="GA60" s="898"/>
      <c r="GB60" s="898"/>
      <c r="GC60" s="898"/>
      <c r="GD60" s="898"/>
      <c r="GE60" s="898"/>
      <c r="GF60" s="898"/>
      <c r="GG60" s="898"/>
      <c r="GH60" s="898"/>
      <c r="GI60" s="898"/>
      <c r="GJ60" s="898"/>
      <c r="GK60" s="898"/>
      <c r="GL60" s="898"/>
      <c r="GM60" s="898"/>
      <c r="GN60" s="898"/>
      <c r="GO60" s="898"/>
      <c r="GP60" s="898"/>
      <c r="GQ60" s="898"/>
      <c r="GR60" s="898"/>
      <c r="GS60" s="898"/>
      <c r="GT60" s="898"/>
      <c r="GU60" s="898"/>
      <c r="GV60" s="898"/>
      <c r="GW60" s="898"/>
      <c r="GX60" s="898"/>
      <c r="GY60" s="898"/>
      <c r="GZ60" s="898"/>
      <c r="HA60" s="898"/>
      <c r="HB60" s="898"/>
      <c r="HC60" s="898"/>
      <c r="HD60" s="898"/>
      <c r="HE60" s="898"/>
      <c r="HF60" s="898"/>
      <c r="HG60" s="898"/>
      <c r="HH60" s="898"/>
      <c r="HI60" s="898"/>
      <c r="HJ60" s="898"/>
      <c r="HK60" s="898"/>
      <c r="HL60" s="898"/>
      <c r="HM60" s="898"/>
      <c r="HN60" s="898"/>
      <c r="HO60" s="898"/>
      <c r="HP60" s="898"/>
      <c r="HQ60" s="898"/>
      <c r="HR60" s="898"/>
      <c r="HS60" s="898"/>
      <c r="HT60" s="898"/>
      <c r="HU60" s="898"/>
      <c r="HV60" s="898"/>
      <c r="HW60" s="898"/>
      <c r="HX60" s="898"/>
      <c r="HY60" s="898"/>
      <c r="HZ60" s="898"/>
      <c r="IA60" s="898"/>
      <c r="IB60" s="898"/>
      <c r="IC60" s="898"/>
      <c r="ID60" s="898"/>
      <c r="IE60" s="898"/>
      <c r="IF60" s="898"/>
      <c r="IG60" s="898"/>
      <c r="IH60" s="898"/>
      <c r="II60" s="898"/>
      <c r="IJ60" s="898"/>
      <c r="IK60" s="898"/>
      <c r="IL60" s="898"/>
      <c r="IM60" s="898"/>
      <c r="IN60" s="898"/>
      <c r="IO60" s="898"/>
      <c r="IP60" s="898"/>
      <c r="IQ60" s="898"/>
      <c r="IR60" s="898"/>
      <c r="IS60" s="898"/>
      <c r="IT60" s="898"/>
      <c r="IU60" s="898"/>
      <c r="IV60" s="898"/>
    </row>
    <row r="61" spans="1:256" ht="18">
      <c r="A61" s="898"/>
      <c r="B61" s="898"/>
      <c r="C61" s="898"/>
      <c r="D61" s="913"/>
      <c r="E61" s="898"/>
      <c r="F61" s="898"/>
      <c r="G61" s="898"/>
      <c r="H61" s="898"/>
      <c r="I61" s="898"/>
      <c r="J61" s="913"/>
      <c r="K61" s="898"/>
      <c r="L61" s="913"/>
      <c r="M61" s="898"/>
      <c r="N61" s="898"/>
      <c r="O61" s="911"/>
      <c r="P61" s="911"/>
      <c r="Q61" s="898"/>
      <c r="R61" s="898"/>
      <c r="S61" s="898"/>
      <c r="T61" s="898"/>
      <c r="U61" s="898"/>
      <c r="V61" s="898"/>
      <c r="W61" s="898"/>
      <c r="X61" s="898"/>
      <c r="Y61" s="898"/>
      <c r="Z61" s="898"/>
      <c r="AA61" s="898"/>
      <c r="AB61" s="898"/>
      <c r="AC61" s="898"/>
      <c r="AD61" s="898"/>
      <c r="AE61" s="898"/>
      <c r="AF61" s="898"/>
      <c r="AG61" s="898"/>
      <c r="AH61" s="898"/>
      <c r="AI61" s="898"/>
      <c r="AJ61" s="898"/>
      <c r="AK61" s="898"/>
      <c r="AL61" s="898"/>
      <c r="AM61" s="898"/>
      <c r="AN61" s="898"/>
      <c r="AO61" s="898"/>
      <c r="AP61" s="898"/>
      <c r="AQ61" s="898"/>
      <c r="AR61" s="898"/>
      <c r="AS61" s="898"/>
      <c r="AT61" s="898"/>
      <c r="AU61" s="898"/>
      <c r="AV61" s="898"/>
      <c r="AW61" s="898"/>
      <c r="AX61" s="898"/>
      <c r="AY61" s="898"/>
      <c r="AZ61" s="898"/>
      <c r="BA61" s="898"/>
      <c r="BB61" s="898"/>
      <c r="BC61" s="898"/>
      <c r="BD61" s="898"/>
      <c r="BE61" s="898"/>
      <c r="BF61" s="898"/>
      <c r="BG61" s="898"/>
      <c r="BH61" s="898"/>
      <c r="BI61" s="898"/>
      <c r="BJ61" s="898"/>
      <c r="BK61" s="898"/>
      <c r="BL61" s="898"/>
      <c r="BM61" s="898"/>
      <c r="BN61" s="898"/>
      <c r="BO61" s="898"/>
      <c r="BP61" s="898"/>
      <c r="BQ61" s="898"/>
      <c r="BR61" s="898"/>
      <c r="BS61" s="898"/>
      <c r="BT61" s="898"/>
      <c r="BU61" s="898"/>
      <c r="BV61" s="898"/>
      <c r="BW61" s="898"/>
      <c r="BX61" s="898"/>
      <c r="BY61" s="898"/>
      <c r="BZ61" s="898"/>
      <c r="CA61" s="898"/>
      <c r="CB61" s="898"/>
      <c r="CC61" s="898"/>
      <c r="CD61" s="898"/>
      <c r="CE61" s="898"/>
      <c r="CF61" s="898"/>
      <c r="CG61" s="898"/>
      <c r="CH61" s="898"/>
      <c r="CI61" s="898"/>
      <c r="CJ61" s="898"/>
      <c r="CK61" s="898"/>
      <c r="CL61" s="898"/>
      <c r="CM61" s="898"/>
      <c r="CN61" s="898"/>
      <c r="CO61" s="898"/>
      <c r="CP61" s="898"/>
      <c r="CQ61" s="898"/>
      <c r="CR61" s="898"/>
      <c r="CS61" s="898"/>
      <c r="CT61" s="898"/>
      <c r="CU61" s="898"/>
      <c r="CV61" s="898"/>
      <c r="CW61" s="898"/>
      <c r="CX61" s="898"/>
      <c r="CY61" s="898"/>
      <c r="CZ61" s="898"/>
      <c r="DA61" s="898"/>
      <c r="DB61" s="898"/>
      <c r="DC61" s="898"/>
      <c r="DD61" s="898"/>
      <c r="DE61" s="898"/>
      <c r="DF61" s="898"/>
      <c r="DG61" s="898"/>
      <c r="DH61" s="898"/>
      <c r="DI61" s="898"/>
      <c r="DJ61" s="898"/>
      <c r="DK61" s="898"/>
      <c r="DL61" s="898"/>
      <c r="DM61" s="898"/>
      <c r="DN61" s="898"/>
      <c r="DO61" s="898"/>
      <c r="DP61" s="898"/>
      <c r="DQ61" s="898"/>
      <c r="DR61" s="898"/>
      <c r="DS61" s="898"/>
      <c r="DT61" s="898"/>
      <c r="DU61" s="898"/>
      <c r="DV61" s="898"/>
      <c r="DW61" s="898"/>
      <c r="DX61" s="898"/>
      <c r="DY61" s="898"/>
      <c r="DZ61" s="898"/>
      <c r="EA61" s="898"/>
      <c r="EB61" s="898"/>
      <c r="EC61" s="898"/>
      <c r="ED61" s="898"/>
      <c r="EE61" s="898"/>
      <c r="EF61" s="898"/>
      <c r="EG61" s="898"/>
      <c r="EH61" s="898"/>
      <c r="EI61" s="898"/>
      <c r="EJ61" s="898"/>
      <c r="EK61" s="898"/>
      <c r="EL61" s="898"/>
      <c r="EM61" s="898"/>
      <c r="EN61" s="898"/>
      <c r="EO61" s="898"/>
      <c r="EP61" s="898"/>
      <c r="EQ61" s="898"/>
      <c r="ER61" s="898"/>
      <c r="ES61" s="898"/>
      <c r="ET61" s="898"/>
      <c r="EU61" s="898"/>
      <c r="EV61" s="898"/>
      <c r="EW61" s="898"/>
      <c r="EX61" s="898"/>
      <c r="EY61" s="898"/>
      <c r="EZ61" s="898"/>
      <c r="FA61" s="898"/>
      <c r="FB61" s="898"/>
      <c r="FC61" s="898"/>
      <c r="FD61" s="898"/>
      <c r="FE61" s="898"/>
      <c r="FF61" s="898"/>
      <c r="FG61" s="898"/>
      <c r="FH61" s="898"/>
      <c r="FI61" s="898"/>
      <c r="FJ61" s="898"/>
      <c r="FK61" s="898"/>
      <c r="FL61" s="898"/>
      <c r="FM61" s="898"/>
      <c r="FN61" s="898"/>
      <c r="FO61" s="898"/>
      <c r="FP61" s="898"/>
      <c r="FQ61" s="898"/>
      <c r="FR61" s="898"/>
      <c r="FS61" s="898"/>
      <c r="FT61" s="898"/>
      <c r="FU61" s="898"/>
      <c r="FV61" s="898"/>
      <c r="FW61" s="898"/>
      <c r="FX61" s="898"/>
      <c r="FY61" s="898"/>
      <c r="FZ61" s="898"/>
      <c r="GA61" s="898"/>
      <c r="GB61" s="898"/>
      <c r="GC61" s="898"/>
      <c r="GD61" s="898"/>
      <c r="GE61" s="898"/>
      <c r="GF61" s="898"/>
      <c r="GG61" s="898"/>
      <c r="GH61" s="898"/>
      <c r="GI61" s="898"/>
      <c r="GJ61" s="898"/>
      <c r="GK61" s="898"/>
      <c r="GL61" s="898"/>
      <c r="GM61" s="898"/>
      <c r="GN61" s="898"/>
      <c r="GO61" s="898"/>
      <c r="GP61" s="898"/>
      <c r="GQ61" s="898"/>
      <c r="GR61" s="898"/>
      <c r="GS61" s="898"/>
      <c r="GT61" s="898"/>
      <c r="GU61" s="898"/>
      <c r="GV61" s="898"/>
      <c r="GW61" s="898"/>
      <c r="GX61" s="898"/>
      <c r="GY61" s="898"/>
      <c r="GZ61" s="898"/>
      <c r="HA61" s="898"/>
      <c r="HB61" s="898"/>
      <c r="HC61" s="898"/>
      <c r="HD61" s="898"/>
      <c r="HE61" s="898"/>
      <c r="HF61" s="898"/>
      <c r="HG61" s="898"/>
      <c r="HH61" s="898"/>
      <c r="HI61" s="898"/>
      <c r="HJ61" s="898"/>
      <c r="HK61" s="898"/>
      <c r="HL61" s="898"/>
      <c r="HM61" s="898"/>
      <c r="HN61" s="898"/>
      <c r="HO61" s="898"/>
      <c r="HP61" s="898"/>
      <c r="HQ61" s="898"/>
      <c r="HR61" s="898"/>
      <c r="HS61" s="898"/>
      <c r="HT61" s="898"/>
      <c r="HU61" s="898"/>
      <c r="HV61" s="898"/>
      <c r="HW61" s="898"/>
      <c r="HX61" s="898"/>
      <c r="HY61" s="898"/>
      <c r="HZ61" s="898"/>
      <c r="IA61" s="898"/>
      <c r="IB61" s="898"/>
      <c r="IC61" s="898"/>
      <c r="ID61" s="898"/>
      <c r="IE61" s="898"/>
      <c r="IF61" s="898"/>
      <c r="IG61" s="898"/>
      <c r="IH61" s="898"/>
      <c r="II61" s="898"/>
      <c r="IJ61" s="898"/>
      <c r="IK61" s="898"/>
      <c r="IL61" s="898"/>
      <c r="IM61" s="898"/>
      <c r="IN61" s="898"/>
      <c r="IO61" s="898"/>
      <c r="IP61" s="898"/>
      <c r="IQ61" s="898"/>
      <c r="IR61" s="898"/>
      <c r="IS61" s="898"/>
      <c r="IT61" s="898"/>
      <c r="IU61" s="898"/>
      <c r="IV61" s="898"/>
    </row>
    <row r="62" spans="1:256" ht="18">
      <c r="A62" s="914"/>
      <c r="B62" s="898"/>
      <c r="C62" s="898"/>
      <c r="D62" s="915"/>
      <c r="E62" s="903"/>
      <c r="F62" s="915"/>
      <c r="G62" s="903"/>
      <c r="H62" s="915"/>
      <c r="I62" s="903"/>
      <c r="J62" s="915"/>
      <c r="K62" s="903"/>
      <c r="L62" s="915"/>
      <c r="M62" s="898"/>
      <c r="N62" s="898"/>
      <c r="O62" s="911"/>
      <c r="P62" s="911"/>
      <c r="Q62" s="898"/>
      <c r="R62" s="898"/>
      <c r="S62" s="898"/>
      <c r="T62" s="898"/>
      <c r="U62" s="898"/>
      <c r="V62" s="898"/>
      <c r="W62" s="898"/>
      <c r="X62" s="898"/>
      <c r="Y62" s="898"/>
      <c r="Z62" s="898"/>
      <c r="AA62" s="898"/>
      <c r="AB62" s="898"/>
      <c r="AC62" s="898"/>
      <c r="AD62" s="898"/>
      <c r="AE62" s="898"/>
      <c r="AF62" s="898"/>
      <c r="AG62" s="898"/>
      <c r="AH62" s="898"/>
      <c r="AI62" s="898"/>
      <c r="AJ62" s="898"/>
      <c r="AK62" s="898"/>
      <c r="AL62" s="898"/>
      <c r="AM62" s="898"/>
      <c r="AN62" s="898"/>
      <c r="AO62" s="898"/>
      <c r="AP62" s="898"/>
      <c r="AQ62" s="898"/>
      <c r="AR62" s="898"/>
      <c r="AS62" s="898"/>
      <c r="AT62" s="898"/>
      <c r="AU62" s="898"/>
      <c r="AV62" s="898"/>
      <c r="AW62" s="898"/>
      <c r="AX62" s="898"/>
      <c r="AY62" s="898"/>
      <c r="AZ62" s="898"/>
      <c r="BA62" s="898"/>
      <c r="BB62" s="898"/>
      <c r="BC62" s="898"/>
      <c r="BD62" s="898"/>
      <c r="BE62" s="898"/>
      <c r="BF62" s="898"/>
      <c r="BG62" s="898"/>
      <c r="BH62" s="898"/>
      <c r="BI62" s="898"/>
      <c r="BJ62" s="898"/>
      <c r="BK62" s="898"/>
      <c r="BL62" s="898"/>
      <c r="BM62" s="898"/>
      <c r="BN62" s="898"/>
      <c r="BO62" s="898"/>
      <c r="BP62" s="898"/>
      <c r="BQ62" s="898"/>
      <c r="BR62" s="898"/>
      <c r="BS62" s="898"/>
      <c r="BT62" s="898"/>
      <c r="BU62" s="898"/>
      <c r="BV62" s="898"/>
      <c r="BW62" s="898"/>
      <c r="BX62" s="898"/>
      <c r="BY62" s="898"/>
      <c r="BZ62" s="898"/>
      <c r="CA62" s="898"/>
      <c r="CB62" s="898"/>
      <c r="CC62" s="898"/>
      <c r="CD62" s="898"/>
      <c r="CE62" s="898"/>
      <c r="CF62" s="898"/>
      <c r="CG62" s="898"/>
      <c r="CH62" s="898"/>
      <c r="CI62" s="898"/>
      <c r="CJ62" s="898"/>
      <c r="CK62" s="898"/>
      <c r="CL62" s="898"/>
      <c r="CM62" s="898"/>
      <c r="CN62" s="898"/>
      <c r="CO62" s="898"/>
      <c r="CP62" s="898"/>
      <c r="CQ62" s="898"/>
      <c r="CR62" s="898"/>
      <c r="CS62" s="898"/>
      <c r="CT62" s="898"/>
      <c r="CU62" s="898"/>
      <c r="CV62" s="898"/>
      <c r="CW62" s="898"/>
      <c r="CX62" s="898"/>
      <c r="CY62" s="898"/>
      <c r="CZ62" s="898"/>
      <c r="DA62" s="898"/>
      <c r="DB62" s="898"/>
      <c r="DC62" s="898"/>
      <c r="DD62" s="898"/>
      <c r="DE62" s="898"/>
      <c r="DF62" s="898"/>
      <c r="DG62" s="898"/>
      <c r="DH62" s="898"/>
      <c r="DI62" s="898"/>
      <c r="DJ62" s="898"/>
      <c r="DK62" s="898"/>
      <c r="DL62" s="898"/>
      <c r="DM62" s="898"/>
      <c r="DN62" s="898"/>
      <c r="DO62" s="898"/>
      <c r="DP62" s="898"/>
      <c r="DQ62" s="898"/>
      <c r="DR62" s="898"/>
      <c r="DS62" s="898"/>
      <c r="DT62" s="898"/>
      <c r="DU62" s="898"/>
      <c r="DV62" s="898"/>
      <c r="DW62" s="898"/>
      <c r="DX62" s="898"/>
      <c r="DY62" s="898"/>
      <c r="DZ62" s="898"/>
      <c r="EA62" s="898"/>
      <c r="EB62" s="898"/>
      <c r="EC62" s="898"/>
      <c r="ED62" s="898"/>
      <c r="EE62" s="898"/>
      <c r="EF62" s="898"/>
      <c r="EG62" s="898"/>
      <c r="EH62" s="898"/>
      <c r="EI62" s="898"/>
      <c r="EJ62" s="898"/>
      <c r="EK62" s="898"/>
      <c r="EL62" s="898"/>
      <c r="EM62" s="898"/>
      <c r="EN62" s="898"/>
      <c r="EO62" s="898"/>
      <c r="EP62" s="898"/>
      <c r="EQ62" s="898"/>
      <c r="ER62" s="898"/>
      <c r="ES62" s="898"/>
      <c r="ET62" s="898"/>
      <c r="EU62" s="898"/>
      <c r="EV62" s="898"/>
      <c r="EW62" s="898"/>
      <c r="EX62" s="898"/>
      <c r="EY62" s="898"/>
      <c r="EZ62" s="898"/>
      <c r="FA62" s="898"/>
      <c r="FB62" s="898"/>
      <c r="FC62" s="898"/>
      <c r="FD62" s="898"/>
      <c r="FE62" s="898"/>
      <c r="FF62" s="898"/>
      <c r="FG62" s="898"/>
      <c r="FH62" s="898"/>
      <c r="FI62" s="898"/>
      <c r="FJ62" s="898"/>
      <c r="FK62" s="898"/>
      <c r="FL62" s="898"/>
      <c r="FM62" s="898"/>
      <c r="FN62" s="898"/>
      <c r="FO62" s="898"/>
      <c r="FP62" s="898"/>
      <c r="FQ62" s="898"/>
      <c r="FR62" s="898"/>
      <c r="FS62" s="898"/>
      <c r="FT62" s="898"/>
      <c r="FU62" s="898"/>
      <c r="FV62" s="898"/>
      <c r="FW62" s="898"/>
      <c r="FX62" s="898"/>
      <c r="FY62" s="898"/>
      <c r="FZ62" s="898"/>
      <c r="GA62" s="898"/>
      <c r="GB62" s="898"/>
      <c r="GC62" s="898"/>
      <c r="GD62" s="898"/>
      <c r="GE62" s="898"/>
      <c r="GF62" s="898"/>
      <c r="GG62" s="898"/>
      <c r="GH62" s="898"/>
      <c r="GI62" s="898"/>
      <c r="GJ62" s="898"/>
      <c r="GK62" s="898"/>
      <c r="GL62" s="898"/>
      <c r="GM62" s="898"/>
      <c r="GN62" s="898"/>
      <c r="GO62" s="898"/>
      <c r="GP62" s="898"/>
      <c r="GQ62" s="898"/>
      <c r="GR62" s="898"/>
      <c r="GS62" s="898"/>
      <c r="GT62" s="898"/>
      <c r="GU62" s="898"/>
      <c r="GV62" s="898"/>
      <c r="GW62" s="898"/>
      <c r="GX62" s="898"/>
      <c r="GY62" s="898"/>
      <c r="GZ62" s="898"/>
      <c r="HA62" s="898"/>
      <c r="HB62" s="898"/>
      <c r="HC62" s="898"/>
      <c r="HD62" s="898"/>
      <c r="HE62" s="898"/>
      <c r="HF62" s="898"/>
      <c r="HG62" s="898"/>
      <c r="HH62" s="898"/>
      <c r="HI62" s="898"/>
      <c r="HJ62" s="898"/>
      <c r="HK62" s="898"/>
      <c r="HL62" s="898"/>
      <c r="HM62" s="898"/>
      <c r="HN62" s="898"/>
      <c r="HO62" s="898"/>
      <c r="HP62" s="898"/>
      <c r="HQ62" s="898"/>
      <c r="HR62" s="898"/>
      <c r="HS62" s="898"/>
      <c r="HT62" s="898"/>
      <c r="HU62" s="898"/>
      <c r="HV62" s="898"/>
      <c r="HW62" s="898"/>
      <c r="HX62" s="898"/>
      <c r="HY62" s="898"/>
      <c r="HZ62" s="898"/>
      <c r="IA62" s="898"/>
      <c r="IB62" s="898"/>
      <c r="IC62" s="898"/>
      <c r="ID62" s="898"/>
      <c r="IE62" s="898"/>
      <c r="IF62" s="898"/>
      <c r="IG62" s="898"/>
      <c r="IH62" s="898"/>
      <c r="II62" s="898"/>
      <c r="IJ62" s="898"/>
      <c r="IK62" s="898"/>
      <c r="IL62" s="898"/>
      <c r="IM62" s="898"/>
      <c r="IN62" s="898"/>
      <c r="IO62" s="898"/>
      <c r="IP62" s="898"/>
      <c r="IQ62" s="898"/>
      <c r="IR62" s="898"/>
      <c r="IS62" s="898"/>
      <c r="IT62" s="898"/>
      <c r="IU62" s="898"/>
      <c r="IV62" s="898"/>
    </row>
    <row r="63" spans="1:256" ht="18">
      <c r="A63" s="898"/>
      <c r="B63" s="898"/>
      <c r="C63" s="898"/>
      <c r="D63" s="903"/>
      <c r="E63" s="898"/>
      <c r="F63" s="903"/>
      <c r="G63" s="898"/>
      <c r="H63" s="903"/>
      <c r="I63" s="898"/>
      <c r="J63" s="903"/>
      <c r="K63" s="898"/>
      <c r="L63" s="903"/>
      <c r="M63" s="898"/>
      <c r="N63" s="898"/>
      <c r="O63" s="911"/>
      <c r="P63" s="911"/>
      <c r="Q63" s="898"/>
      <c r="R63" s="898"/>
      <c r="S63" s="898"/>
      <c r="T63" s="898"/>
      <c r="U63" s="898"/>
      <c r="V63" s="898"/>
      <c r="W63" s="898"/>
      <c r="X63" s="898"/>
      <c r="Y63" s="898"/>
      <c r="Z63" s="898"/>
      <c r="AA63" s="898"/>
      <c r="AB63" s="898"/>
      <c r="AC63" s="898"/>
      <c r="AD63" s="898"/>
      <c r="AE63" s="898"/>
      <c r="AF63" s="898"/>
      <c r="AG63" s="898"/>
      <c r="AH63" s="898"/>
      <c r="AI63" s="898"/>
      <c r="AJ63" s="898"/>
      <c r="AK63" s="898"/>
      <c r="AL63" s="898"/>
      <c r="AM63" s="898"/>
      <c r="AN63" s="898"/>
      <c r="AO63" s="898"/>
      <c r="AP63" s="898"/>
      <c r="AQ63" s="898"/>
      <c r="AR63" s="898"/>
      <c r="AS63" s="898"/>
      <c r="AT63" s="898"/>
      <c r="AU63" s="898"/>
      <c r="AV63" s="898"/>
      <c r="AW63" s="898"/>
      <c r="AX63" s="898"/>
      <c r="AY63" s="898"/>
      <c r="AZ63" s="898"/>
      <c r="BA63" s="898"/>
      <c r="BB63" s="898"/>
      <c r="BC63" s="898"/>
      <c r="BD63" s="898"/>
      <c r="BE63" s="898"/>
      <c r="BF63" s="898"/>
      <c r="BG63" s="898"/>
      <c r="BH63" s="898"/>
      <c r="BI63" s="898"/>
      <c r="BJ63" s="898"/>
      <c r="BK63" s="898"/>
      <c r="BL63" s="898"/>
      <c r="BM63" s="898"/>
      <c r="BN63" s="898"/>
      <c r="BO63" s="898"/>
      <c r="BP63" s="898"/>
      <c r="BQ63" s="898"/>
      <c r="BR63" s="898"/>
      <c r="BS63" s="898"/>
      <c r="BT63" s="898"/>
      <c r="BU63" s="898"/>
      <c r="BV63" s="898"/>
      <c r="BW63" s="898"/>
      <c r="BX63" s="898"/>
      <c r="BY63" s="898"/>
      <c r="BZ63" s="898"/>
      <c r="CA63" s="898"/>
      <c r="CB63" s="898"/>
      <c r="CC63" s="898"/>
      <c r="CD63" s="898"/>
      <c r="CE63" s="898"/>
      <c r="CF63" s="898"/>
      <c r="CG63" s="898"/>
      <c r="CH63" s="898"/>
      <c r="CI63" s="898"/>
      <c r="CJ63" s="898"/>
      <c r="CK63" s="898"/>
      <c r="CL63" s="898"/>
      <c r="CM63" s="898"/>
      <c r="CN63" s="898"/>
      <c r="CO63" s="898"/>
      <c r="CP63" s="898"/>
      <c r="CQ63" s="898"/>
      <c r="CR63" s="898"/>
      <c r="CS63" s="898"/>
      <c r="CT63" s="898"/>
      <c r="CU63" s="898"/>
      <c r="CV63" s="898"/>
      <c r="CW63" s="898"/>
      <c r="CX63" s="898"/>
      <c r="CY63" s="898"/>
      <c r="CZ63" s="898"/>
      <c r="DA63" s="898"/>
      <c r="DB63" s="898"/>
      <c r="DC63" s="898"/>
      <c r="DD63" s="898"/>
      <c r="DE63" s="898"/>
      <c r="DF63" s="898"/>
      <c r="DG63" s="898"/>
      <c r="DH63" s="898"/>
      <c r="DI63" s="898"/>
      <c r="DJ63" s="898"/>
      <c r="DK63" s="898"/>
      <c r="DL63" s="898"/>
      <c r="DM63" s="898"/>
      <c r="DN63" s="898"/>
      <c r="DO63" s="898"/>
      <c r="DP63" s="898"/>
      <c r="DQ63" s="898"/>
      <c r="DR63" s="898"/>
      <c r="DS63" s="898"/>
      <c r="DT63" s="898"/>
      <c r="DU63" s="898"/>
      <c r="DV63" s="898"/>
      <c r="DW63" s="898"/>
      <c r="DX63" s="898"/>
      <c r="DY63" s="898"/>
      <c r="DZ63" s="898"/>
      <c r="EA63" s="898"/>
      <c r="EB63" s="898"/>
      <c r="EC63" s="898"/>
      <c r="ED63" s="898"/>
      <c r="EE63" s="898"/>
      <c r="EF63" s="898"/>
      <c r="EG63" s="898"/>
      <c r="EH63" s="898"/>
      <c r="EI63" s="898"/>
      <c r="EJ63" s="898"/>
      <c r="EK63" s="898"/>
      <c r="EL63" s="898"/>
      <c r="EM63" s="898"/>
      <c r="EN63" s="898"/>
      <c r="EO63" s="898"/>
      <c r="EP63" s="898"/>
      <c r="EQ63" s="898"/>
      <c r="ER63" s="898"/>
      <c r="ES63" s="898"/>
      <c r="ET63" s="898"/>
      <c r="EU63" s="898"/>
      <c r="EV63" s="898"/>
      <c r="EW63" s="898"/>
      <c r="EX63" s="898"/>
      <c r="EY63" s="898"/>
      <c r="EZ63" s="898"/>
      <c r="FA63" s="898"/>
      <c r="FB63" s="898"/>
      <c r="FC63" s="898"/>
      <c r="FD63" s="898"/>
      <c r="FE63" s="898"/>
      <c r="FF63" s="898"/>
      <c r="FG63" s="898"/>
      <c r="FH63" s="898"/>
      <c r="FI63" s="898"/>
      <c r="FJ63" s="898"/>
      <c r="FK63" s="898"/>
      <c r="FL63" s="898"/>
      <c r="FM63" s="898"/>
      <c r="FN63" s="898"/>
      <c r="FO63" s="898"/>
      <c r="FP63" s="898"/>
      <c r="FQ63" s="898"/>
      <c r="FR63" s="898"/>
      <c r="FS63" s="898"/>
      <c r="FT63" s="898"/>
      <c r="FU63" s="898"/>
      <c r="FV63" s="898"/>
      <c r="FW63" s="898"/>
      <c r="FX63" s="898"/>
      <c r="FY63" s="898"/>
      <c r="FZ63" s="898"/>
      <c r="GA63" s="898"/>
      <c r="GB63" s="898"/>
      <c r="GC63" s="898"/>
      <c r="GD63" s="898"/>
      <c r="GE63" s="898"/>
      <c r="GF63" s="898"/>
      <c r="GG63" s="898"/>
      <c r="GH63" s="898"/>
      <c r="GI63" s="898"/>
      <c r="GJ63" s="898"/>
      <c r="GK63" s="898"/>
      <c r="GL63" s="898"/>
      <c r="GM63" s="898"/>
      <c r="GN63" s="898"/>
      <c r="GO63" s="898"/>
      <c r="GP63" s="898"/>
      <c r="GQ63" s="898"/>
      <c r="GR63" s="898"/>
      <c r="GS63" s="898"/>
      <c r="GT63" s="898"/>
      <c r="GU63" s="898"/>
      <c r="GV63" s="898"/>
      <c r="GW63" s="898"/>
      <c r="GX63" s="898"/>
      <c r="GY63" s="898"/>
      <c r="GZ63" s="898"/>
      <c r="HA63" s="898"/>
      <c r="HB63" s="898"/>
      <c r="HC63" s="898"/>
      <c r="HD63" s="898"/>
      <c r="HE63" s="898"/>
      <c r="HF63" s="898"/>
      <c r="HG63" s="898"/>
      <c r="HH63" s="898"/>
      <c r="HI63" s="898"/>
      <c r="HJ63" s="898"/>
      <c r="HK63" s="898"/>
      <c r="HL63" s="898"/>
      <c r="HM63" s="898"/>
      <c r="HN63" s="898"/>
      <c r="HO63" s="898"/>
      <c r="HP63" s="898"/>
      <c r="HQ63" s="898"/>
      <c r="HR63" s="898"/>
      <c r="HS63" s="898"/>
      <c r="HT63" s="898"/>
      <c r="HU63" s="898"/>
      <c r="HV63" s="898"/>
      <c r="HW63" s="898"/>
      <c r="HX63" s="898"/>
      <c r="HY63" s="898"/>
      <c r="HZ63" s="898"/>
      <c r="IA63" s="898"/>
      <c r="IB63" s="898"/>
      <c r="IC63" s="898"/>
      <c r="ID63" s="898"/>
      <c r="IE63" s="898"/>
      <c r="IF63" s="898"/>
      <c r="IG63" s="898"/>
      <c r="IH63" s="898"/>
      <c r="II63" s="898"/>
      <c r="IJ63" s="898"/>
      <c r="IK63" s="898"/>
      <c r="IL63" s="898"/>
      <c r="IM63" s="898"/>
      <c r="IN63" s="898"/>
      <c r="IO63" s="898"/>
      <c r="IP63" s="898"/>
      <c r="IQ63" s="898"/>
      <c r="IR63" s="898"/>
      <c r="IS63" s="898"/>
      <c r="IT63" s="898"/>
      <c r="IU63" s="898"/>
      <c r="IV63" s="898"/>
    </row>
    <row r="64" spans="1:256" ht="18">
      <c r="A64" s="901"/>
      <c r="B64" s="898"/>
      <c r="C64" s="898"/>
      <c r="D64" s="898"/>
      <c r="E64" s="898"/>
      <c r="F64" s="898"/>
      <c r="G64" s="898"/>
      <c r="H64" s="898"/>
      <c r="I64" s="898"/>
      <c r="J64" s="898"/>
      <c r="K64" s="898"/>
      <c r="L64" s="898"/>
      <c r="M64" s="898"/>
      <c r="N64" s="898"/>
      <c r="O64" s="911"/>
      <c r="P64" s="911"/>
      <c r="Q64" s="898"/>
      <c r="R64" s="898"/>
      <c r="S64" s="898"/>
      <c r="T64" s="898"/>
      <c r="U64" s="898"/>
      <c r="V64" s="898"/>
      <c r="W64" s="898"/>
      <c r="X64" s="898"/>
      <c r="Y64" s="898"/>
      <c r="Z64" s="898"/>
      <c r="AA64" s="898"/>
      <c r="AB64" s="898"/>
      <c r="AC64" s="898"/>
      <c r="AD64" s="898"/>
      <c r="AE64" s="898"/>
      <c r="AF64" s="898"/>
      <c r="AG64" s="898"/>
      <c r="AH64" s="898"/>
      <c r="AI64" s="898"/>
      <c r="AJ64" s="898"/>
      <c r="AK64" s="898"/>
      <c r="AL64" s="898"/>
      <c r="AM64" s="898"/>
      <c r="AN64" s="898"/>
      <c r="AO64" s="898"/>
      <c r="AP64" s="898"/>
      <c r="AQ64" s="898"/>
      <c r="AR64" s="898"/>
      <c r="AS64" s="898"/>
      <c r="AT64" s="898"/>
      <c r="AU64" s="898"/>
      <c r="AV64" s="898"/>
      <c r="AW64" s="898"/>
      <c r="AX64" s="898"/>
      <c r="AY64" s="898"/>
      <c r="AZ64" s="898"/>
      <c r="BA64" s="898"/>
      <c r="BB64" s="898"/>
      <c r="BC64" s="898"/>
      <c r="BD64" s="898"/>
      <c r="BE64" s="898"/>
      <c r="BF64" s="898"/>
      <c r="BG64" s="898"/>
      <c r="BH64" s="898"/>
      <c r="BI64" s="898"/>
      <c r="BJ64" s="898"/>
      <c r="BK64" s="898"/>
      <c r="BL64" s="898"/>
      <c r="BM64" s="898"/>
      <c r="BN64" s="898"/>
      <c r="BO64" s="898"/>
      <c r="BP64" s="898"/>
      <c r="BQ64" s="898"/>
      <c r="BR64" s="898"/>
      <c r="BS64" s="898"/>
      <c r="BT64" s="898"/>
      <c r="BU64" s="898"/>
      <c r="BV64" s="898"/>
      <c r="BW64" s="898"/>
      <c r="BX64" s="898"/>
      <c r="BY64" s="898"/>
      <c r="BZ64" s="898"/>
      <c r="CA64" s="898"/>
      <c r="CB64" s="898"/>
      <c r="CC64" s="898"/>
      <c r="CD64" s="898"/>
      <c r="CE64" s="898"/>
      <c r="CF64" s="898"/>
      <c r="CG64" s="898"/>
      <c r="CH64" s="898"/>
      <c r="CI64" s="898"/>
      <c r="CJ64" s="898"/>
      <c r="CK64" s="898"/>
      <c r="CL64" s="898"/>
      <c r="CM64" s="898"/>
      <c r="CN64" s="898"/>
      <c r="CO64" s="898"/>
      <c r="CP64" s="898"/>
      <c r="CQ64" s="898"/>
      <c r="CR64" s="898"/>
      <c r="CS64" s="898"/>
      <c r="CT64" s="898"/>
      <c r="CU64" s="898"/>
      <c r="CV64" s="898"/>
      <c r="CW64" s="898"/>
      <c r="CX64" s="898"/>
      <c r="CY64" s="898"/>
      <c r="CZ64" s="898"/>
      <c r="DA64" s="898"/>
      <c r="DB64" s="898"/>
      <c r="DC64" s="898"/>
      <c r="DD64" s="898"/>
      <c r="DE64" s="898"/>
      <c r="DF64" s="898"/>
      <c r="DG64" s="898"/>
      <c r="DH64" s="898"/>
      <c r="DI64" s="898"/>
      <c r="DJ64" s="898"/>
      <c r="DK64" s="898"/>
      <c r="DL64" s="898"/>
      <c r="DM64" s="898"/>
      <c r="DN64" s="898"/>
      <c r="DO64" s="898"/>
      <c r="DP64" s="898"/>
      <c r="DQ64" s="898"/>
      <c r="DR64" s="898"/>
      <c r="DS64" s="898"/>
      <c r="DT64" s="898"/>
      <c r="DU64" s="898"/>
      <c r="DV64" s="898"/>
      <c r="DW64" s="898"/>
      <c r="DX64" s="898"/>
      <c r="DY64" s="898"/>
      <c r="DZ64" s="898"/>
      <c r="EA64" s="898"/>
      <c r="EB64" s="898"/>
      <c r="EC64" s="898"/>
      <c r="ED64" s="898"/>
      <c r="EE64" s="898"/>
      <c r="EF64" s="898"/>
      <c r="EG64" s="898"/>
      <c r="EH64" s="898"/>
      <c r="EI64" s="898"/>
      <c r="EJ64" s="898"/>
      <c r="EK64" s="898"/>
      <c r="EL64" s="898"/>
      <c r="EM64" s="898"/>
      <c r="EN64" s="898"/>
      <c r="EO64" s="898"/>
      <c r="EP64" s="898"/>
      <c r="EQ64" s="898"/>
      <c r="ER64" s="898"/>
      <c r="ES64" s="898"/>
      <c r="ET64" s="898"/>
      <c r="EU64" s="898"/>
      <c r="EV64" s="898"/>
      <c r="EW64" s="898"/>
      <c r="EX64" s="898"/>
      <c r="EY64" s="898"/>
      <c r="EZ64" s="898"/>
      <c r="FA64" s="898"/>
      <c r="FB64" s="898"/>
      <c r="FC64" s="898"/>
      <c r="FD64" s="898"/>
      <c r="FE64" s="898"/>
      <c r="FF64" s="898"/>
      <c r="FG64" s="898"/>
      <c r="FH64" s="898"/>
      <c r="FI64" s="898"/>
      <c r="FJ64" s="898"/>
      <c r="FK64" s="898"/>
      <c r="FL64" s="898"/>
      <c r="FM64" s="898"/>
      <c r="FN64" s="898"/>
      <c r="FO64" s="898"/>
      <c r="FP64" s="898"/>
      <c r="FQ64" s="898"/>
      <c r="FR64" s="898"/>
      <c r="FS64" s="898"/>
      <c r="FT64" s="898"/>
      <c r="FU64" s="898"/>
      <c r="FV64" s="898"/>
      <c r="FW64" s="898"/>
      <c r="FX64" s="898"/>
      <c r="FY64" s="898"/>
      <c r="FZ64" s="898"/>
      <c r="GA64" s="898"/>
      <c r="GB64" s="898"/>
      <c r="GC64" s="898"/>
      <c r="GD64" s="898"/>
      <c r="GE64" s="898"/>
      <c r="GF64" s="898"/>
      <c r="GG64" s="898"/>
      <c r="GH64" s="898"/>
      <c r="GI64" s="898"/>
      <c r="GJ64" s="898"/>
      <c r="GK64" s="898"/>
      <c r="GL64" s="898"/>
      <c r="GM64" s="898"/>
      <c r="GN64" s="898"/>
      <c r="GO64" s="898"/>
      <c r="GP64" s="898"/>
      <c r="GQ64" s="898"/>
      <c r="GR64" s="898"/>
      <c r="GS64" s="898"/>
      <c r="GT64" s="898"/>
      <c r="GU64" s="898"/>
      <c r="GV64" s="898"/>
      <c r="GW64" s="898"/>
      <c r="GX64" s="898"/>
      <c r="GY64" s="898"/>
      <c r="GZ64" s="898"/>
      <c r="HA64" s="898"/>
      <c r="HB64" s="898"/>
      <c r="HC64" s="898"/>
      <c r="HD64" s="898"/>
      <c r="HE64" s="898"/>
      <c r="HF64" s="898"/>
      <c r="HG64" s="898"/>
      <c r="HH64" s="898"/>
      <c r="HI64" s="898"/>
      <c r="HJ64" s="898"/>
      <c r="HK64" s="898"/>
      <c r="HL64" s="898"/>
      <c r="HM64" s="898"/>
      <c r="HN64" s="898"/>
      <c r="HO64" s="898"/>
      <c r="HP64" s="898"/>
      <c r="HQ64" s="898"/>
      <c r="HR64" s="898"/>
      <c r="HS64" s="898"/>
      <c r="HT64" s="898"/>
      <c r="HU64" s="898"/>
      <c r="HV64" s="898"/>
      <c r="HW64" s="898"/>
      <c r="HX64" s="898"/>
      <c r="HY64" s="898"/>
      <c r="HZ64" s="898"/>
      <c r="IA64" s="898"/>
      <c r="IB64" s="898"/>
      <c r="IC64" s="898"/>
      <c r="ID64" s="898"/>
      <c r="IE64" s="898"/>
      <c r="IF64" s="898"/>
      <c r="IG64" s="898"/>
      <c r="IH64" s="898"/>
      <c r="II64" s="898"/>
      <c r="IJ64" s="898"/>
      <c r="IK64" s="898"/>
      <c r="IL64" s="898"/>
      <c r="IM64" s="898"/>
      <c r="IN64" s="898"/>
      <c r="IO64" s="898"/>
      <c r="IP64" s="898"/>
      <c r="IQ64" s="898"/>
      <c r="IR64" s="898"/>
      <c r="IS64" s="898"/>
      <c r="IT64" s="898"/>
      <c r="IU64" s="898"/>
      <c r="IV64" s="898"/>
    </row>
    <row r="65" spans="1:256" ht="18">
      <c r="A65" s="898"/>
      <c r="B65" s="898"/>
      <c r="C65" s="898"/>
      <c r="D65" s="898"/>
      <c r="E65" s="898"/>
      <c r="F65" s="898"/>
      <c r="G65" s="898"/>
      <c r="H65" s="898"/>
      <c r="I65" s="898"/>
      <c r="J65" s="898"/>
      <c r="K65" s="898"/>
      <c r="L65" s="898"/>
      <c r="M65" s="898"/>
      <c r="N65" s="898"/>
      <c r="O65" s="911"/>
      <c r="P65" s="911"/>
      <c r="Q65" s="898"/>
      <c r="R65" s="898"/>
      <c r="S65" s="898"/>
      <c r="T65" s="898"/>
      <c r="U65" s="898"/>
      <c r="V65" s="898"/>
      <c r="W65" s="898"/>
      <c r="X65" s="898"/>
      <c r="Y65" s="898"/>
      <c r="Z65" s="898"/>
      <c r="AA65" s="898"/>
      <c r="AB65" s="898"/>
      <c r="AC65" s="898"/>
      <c r="AD65" s="898"/>
      <c r="AE65" s="898"/>
      <c r="AF65" s="898"/>
      <c r="AG65" s="898"/>
      <c r="AH65" s="898"/>
      <c r="AI65" s="898"/>
      <c r="AJ65" s="898"/>
      <c r="AK65" s="898"/>
      <c r="AL65" s="898"/>
      <c r="AM65" s="898"/>
      <c r="AN65" s="898"/>
      <c r="AO65" s="898"/>
      <c r="AP65" s="898"/>
      <c r="AQ65" s="898"/>
      <c r="AR65" s="898"/>
      <c r="AS65" s="898"/>
      <c r="AT65" s="898"/>
      <c r="AU65" s="898"/>
      <c r="AV65" s="898"/>
      <c r="AW65" s="898"/>
      <c r="AX65" s="898"/>
      <c r="AY65" s="898"/>
      <c r="AZ65" s="898"/>
      <c r="BA65" s="898"/>
      <c r="BB65" s="898"/>
      <c r="BC65" s="898"/>
      <c r="BD65" s="898"/>
      <c r="BE65" s="898"/>
      <c r="BF65" s="898"/>
      <c r="BG65" s="898"/>
      <c r="BH65" s="898"/>
      <c r="BI65" s="898"/>
      <c r="BJ65" s="898"/>
      <c r="BK65" s="898"/>
      <c r="BL65" s="898"/>
      <c r="BM65" s="898"/>
      <c r="BN65" s="898"/>
      <c r="BO65" s="898"/>
      <c r="BP65" s="898"/>
      <c r="BQ65" s="898"/>
      <c r="BR65" s="898"/>
      <c r="BS65" s="898"/>
      <c r="BT65" s="898"/>
      <c r="BU65" s="898"/>
      <c r="BV65" s="898"/>
      <c r="BW65" s="898"/>
      <c r="BX65" s="898"/>
      <c r="BY65" s="898"/>
      <c r="BZ65" s="898"/>
      <c r="CA65" s="898"/>
      <c r="CB65" s="898"/>
      <c r="CC65" s="898"/>
      <c r="CD65" s="898"/>
      <c r="CE65" s="898"/>
      <c r="CF65" s="898"/>
      <c r="CG65" s="898"/>
      <c r="CH65" s="898"/>
      <c r="CI65" s="898"/>
      <c r="CJ65" s="898"/>
      <c r="CK65" s="898"/>
      <c r="CL65" s="898"/>
      <c r="CM65" s="898"/>
      <c r="CN65" s="898"/>
      <c r="CO65" s="898"/>
      <c r="CP65" s="898"/>
      <c r="CQ65" s="898"/>
      <c r="CR65" s="898"/>
      <c r="CS65" s="898"/>
      <c r="CT65" s="898"/>
      <c r="CU65" s="898"/>
      <c r="CV65" s="898"/>
      <c r="CW65" s="898"/>
      <c r="CX65" s="898"/>
      <c r="CY65" s="898"/>
      <c r="CZ65" s="898"/>
      <c r="DA65" s="898"/>
      <c r="DB65" s="898"/>
      <c r="DC65" s="898"/>
      <c r="DD65" s="898"/>
      <c r="DE65" s="898"/>
      <c r="DF65" s="898"/>
      <c r="DG65" s="898"/>
      <c r="DH65" s="898"/>
      <c r="DI65" s="898"/>
      <c r="DJ65" s="898"/>
      <c r="DK65" s="898"/>
      <c r="DL65" s="898"/>
      <c r="DM65" s="898"/>
      <c r="DN65" s="898"/>
      <c r="DO65" s="898"/>
      <c r="DP65" s="898"/>
      <c r="DQ65" s="898"/>
      <c r="DR65" s="898"/>
      <c r="DS65" s="898"/>
      <c r="DT65" s="898"/>
      <c r="DU65" s="898"/>
      <c r="DV65" s="898"/>
      <c r="DW65" s="898"/>
      <c r="DX65" s="898"/>
      <c r="DY65" s="898"/>
      <c r="DZ65" s="898"/>
      <c r="EA65" s="898"/>
      <c r="EB65" s="898"/>
      <c r="EC65" s="898"/>
      <c r="ED65" s="898"/>
      <c r="EE65" s="898"/>
      <c r="EF65" s="898"/>
      <c r="EG65" s="898"/>
      <c r="EH65" s="898"/>
      <c r="EI65" s="898"/>
      <c r="EJ65" s="898"/>
      <c r="EK65" s="898"/>
      <c r="EL65" s="898"/>
      <c r="EM65" s="898"/>
      <c r="EN65" s="898"/>
      <c r="EO65" s="898"/>
      <c r="EP65" s="898"/>
      <c r="EQ65" s="898"/>
      <c r="ER65" s="898"/>
      <c r="ES65" s="898"/>
      <c r="ET65" s="898"/>
      <c r="EU65" s="898"/>
      <c r="EV65" s="898"/>
      <c r="EW65" s="898"/>
      <c r="EX65" s="898"/>
      <c r="EY65" s="898"/>
      <c r="EZ65" s="898"/>
      <c r="FA65" s="898"/>
      <c r="FB65" s="898"/>
      <c r="FC65" s="898"/>
      <c r="FD65" s="898"/>
      <c r="FE65" s="898"/>
      <c r="FF65" s="898"/>
      <c r="FG65" s="898"/>
      <c r="FH65" s="898"/>
      <c r="FI65" s="898"/>
      <c r="FJ65" s="898"/>
      <c r="FK65" s="898"/>
      <c r="FL65" s="898"/>
      <c r="FM65" s="898"/>
      <c r="FN65" s="898"/>
      <c r="FO65" s="898"/>
      <c r="FP65" s="898"/>
      <c r="FQ65" s="898"/>
      <c r="FR65" s="898"/>
      <c r="FS65" s="898"/>
      <c r="FT65" s="898"/>
      <c r="FU65" s="898"/>
      <c r="FV65" s="898"/>
      <c r="FW65" s="898"/>
      <c r="FX65" s="898"/>
      <c r="FY65" s="898"/>
      <c r="FZ65" s="898"/>
      <c r="GA65" s="898"/>
      <c r="GB65" s="898"/>
      <c r="GC65" s="898"/>
      <c r="GD65" s="898"/>
      <c r="GE65" s="898"/>
      <c r="GF65" s="898"/>
      <c r="GG65" s="898"/>
      <c r="GH65" s="898"/>
      <c r="GI65" s="898"/>
      <c r="GJ65" s="898"/>
      <c r="GK65" s="898"/>
      <c r="GL65" s="898"/>
      <c r="GM65" s="898"/>
      <c r="GN65" s="898"/>
      <c r="GO65" s="898"/>
      <c r="GP65" s="898"/>
      <c r="GQ65" s="898"/>
      <c r="GR65" s="898"/>
      <c r="GS65" s="898"/>
      <c r="GT65" s="898"/>
      <c r="GU65" s="898"/>
      <c r="GV65" s="898"/>
      <c r="GW65" s="898"/>
      <c r="GX65" s="898"/>
      <c r="GY65" s="898"/>
      <c r="GZ65" s="898"/>
      <c r="HA65" s="898"/>
      <c r="HB65" s="898"/>
      <c r="HC65" s="898"/>
      <c r="HD65" s="898"/>
      <c r="HE65" s="898"/>
      <c r="HF65" s="898"/>
      <c r="HG65" s="898"/>
      <c r="HH65" s="898"/>
      <c r="HI65" s="898"/>
      <c r="HJ65" s="898"/>
      <c r="HK65" s="898"/>
      <c r="HL65" s="898"/>
      <c r="HM65" s="898"/>
      <c r="HN65" s="898"/>
      <c r="HO65" s="898"/>
      <c r="HP65" s="898"/>
      <c r="HQ65" s="898"/>
      <c r="HR65" s="898"/>
      <c r="HS65" s="898"/>
      <c r="HT65" s="898"/>
      <c r="HU65" s="898"/>
      <c r="HV65" s="898"/>
      <c r="HW65" s="898"/>
      <c r="HX65" s="898"/>
      <c r="HY65" s="898"/>
      <c r="HZ65" s="898"/>
      <c r="IA65" s="898"/>
      <c r="IB65" s="898"/>
      <c r="IC65" s="898"/>
      <c r="ID65" s="898"/>
      <c r="IE65" s="898"/>
      <c r="IF65" s="898"/>
      <c r="IG65" s="898"/>
      <c r="IH65" s="898"/>
      <c r="II65" s="898"/>
      <c r="IJ65" s="898"/>
      <c r="IK65" s="898"/>
      <c r="IL65" s="898"/>
      <c r="IM65" s="898"/>
      <c r="IN65" s="898"/>
      <c r="IO65" s="898"/>
      <c r="IP65" s="898"/>
      <c r="IQ65" s="898"/>
      <c r="IR65" s="898"/>
      <c r="IS65" s="898"/>
      <c r="IT65" s="898"/>
      <c r="IU65" s="898"/>
      <c r="IV65" s="898"/>
    </row>
    <row r="66" spans="1:256" ht="20.100000000000001" customHeight="1">
      <c r="A66" s="898"/>
      <c r="B66" s="898"/>
      <c r="C66" s="916"/>
      <c r="D66" s="917"/>
      <c r="E66" s="916"/>
      <c r="F66" s="918"/>
      <c r="G66" s="916"/>
      <c r="H66" s="919"/>
      <c r="I66" s="916"/>
      <c r="J66" s="920"/>
      <c r="K66" s="916"/>
      <c r="L66" s="917"/>
      <c r="M66" s="898"/>
      <c r="N66" s="898"/>
      <c r="O66" s="911"/>
      <c r="P66" s="911"/>
      <c r="Q66" s="898"/>
      <c r="R66" s="898"/>
      <c r="S66" s="898"/>
      <c r="T66" s="898"/>
      <c r="U66" s="898"/>
      <c r="V66" s="898"/>
      <c r="W66" s="898"/>
      <c r="X66" s="898"/>
      <c r="Y66" s="898"/>
      <c r="Z66" s="898"/>
      <c r="AA66" s="898"/>
      <c r="AB66" s="898"/>
      <c r="AC66" s="898"/>
      <c r="AD66" s="898"/>
      <c r="AE66" s="898"/>
      <c r="AF66" s="898"/>
      <c r="AG66" s="898"/>
      <c r="AH66" s="898"/>
      <c r="AI66" s="898"/>
      <c r="AJ66" s="898"/>
      <c r="AK66" s="898"/>
      <c r="AL66" s="898"/>
      <c r="AM66" s="898"/>
      <c r="AN66" s="898"/>
      <c r="AO66" s="898"/>
      <c r="AP66" s="898"/>
      <c r="AQ66" s="898"/>
      <c r="AR66" s="898"/>
      <c r="AS66" s="898"/>
      <c r="AT66" s="898"/>
      <c r="AU66" s="898"/>
      <c r="AV66" s="898"/>
      <c r="AW66" s="898"/>
      <c r="AX66" s="898"/>
      <c r="AY66" s="898"/>
      <c r="AZ66" s="898"/>
      <c r="BA66" s="898"/>
      <c r="BB66" s="898"/>
      <c r="BC66" s="898"/>
      <c r="BD66" s="898"/>
      <c r="BE66" s="898"/>
      <c r="BF66" s="898"/>
      <c r="BG66" s="898"/>
      <c r="BH66" s="898"/>
      <c r="BI66" s="898"/>
      <c r="BJ66" s="898"/>
      <c r="BK66" s="898"/>
      <c r="BL66" s="898"/>
      <c r="BM66" s="898"/>
      <c r="BN66" s="898"/>
      <c r="BO66" s="898"/>
      <c r="BP66" s="898"/>
      <c r="BQ66" s="898"/>
      <c r="BR66" s="898"/>
      <c r="BS66" s="898"/>
      <c r="BT66" s="898"/>
      <c r="BU66" s="898"/>
      <c r="BV66" s="898"/>
      <c r="BW66" s="898"/>
      <c r="BX66" s="898"/>
      <c r="BY66" s="898"/>
      <c r="BZ66" s="898"/>
      <c r="CA66" s="898"/>
      <c r="CB66" s="898"/>
      <c r="CC66" s="898"/>
      <c r="CD66" s="898"/>
      <c r="CE66" s="898"/>
      <c r="CF66" s="898"/>
      <c r="CG66" s="898"/>
      <c r="CH66" s="898"/>
      <c r="CI66" s="898"/>
      <c r="CJ66" s="898"/>
      <c r="CK66" s="898"/>
      <c r="CL66" s="898"/>
      <c r="CM66" s="898"/>
      <c r="CN66" s="898"/>
      <c r="CO66" s="898"/>
      <c r="CP66" s="898"/>
      <c r="CQ66" s="898"/>
      <c r="CR66" s="898"/>
      <c r="CS66" s="898"/>
      <c r="CT66" s="898"/>
      <c r="CU66" s="898"/>
      <c r="CV66" s="898"/>
      <c r="CW66" s="898"/>
      <c r="CX66" s="898"/>
      <c r="CY66" s="898"/>
      <c r="CZ66" s="898"/>
      <c r="DA66" s="898"/>
      <c r="DB66" s="898"/>
      <c r="DC66" s="898"/>
      <c r="DD66" s="898"/>
      <c r="DE66" s="898"/>
      <c r="DF66" s="898"/>
      <c r="DG66" s="898"/>
      <c r="DH66" s="898"/>
      <c r="DI66" s="898"/>
      <c r="DJ66" s="898"/>
      <c r="DK66" s="898"/>
      <c r="DL66" s="898"/>
      <c r="DM66" s="898"/>
      <c r="DN66" s="898"/>
      <c r="DO66" s="898"/>
      <c r="DP66" s="898"/>
      <c r="DQ66" s="898"/>
      <c r="DR66" s="898"/>
      <c r="DS66" s="898"/>
      <c r="DT66" s="898"/>
      <c r="DU66" s="898"/>
      <c r="DV66" s="898"/>
      <c r="DW66" s="898"/>
      <c r="DX66" s="898"/>
      <c r="DY66" s="898"/>
      <c r="DZ66" s="898"/>
      <c r="EA66" s="898"/>
      <c r="EB66" s="898"/>
      <c r="EC66" s="898"/>
      <c r="ED66" s="898"/>
      <c r="EE66" s="898"/>
      <c r="EF66" s="898"/>
      <c r="EG66" s="898"/>
      <c r="EH66" s="898"/>
      <c r="EI66" s="898"/>
      <c r="EJ66" s="898"/>
      <c r="EK66" s="898"/>
      <c r="EL66" s="898"/>
      <c r="EM66" s="898"/>
      <c r="EN66" s="898"/>
      <c r="EO66" s="898"/>
      <c r="EP66" s="898"/>
      <c r="EQ66" s="898"/>
      <c r="ER66" s="898"/>
      <c r="ES66" s="898"/>
      <c r="ET66" s="898"/>
      <c r="EU66" s="898"/>
      <c r="EV66" s="898"/>
      <c r="EW66" s="898"/>
      <c r="EX66" s="898"/>
      <c r="EY66" s="898"/>
      <c r="EZ66" s="898"/>
      <c r="FA66" s="898"/>
      <c r="FB66" s="898"/>
      <c r="FC66" s="898"/>
      <c r="FD66" s="898"/>
      <c r="FE66" s="898"/>
      <c r="FF66" s="898"/>
      <c r="FG66" s="898"/>
      <c r="FH66" s="898"/>
      <c r="FI66" s="898"/>
      <c r="FJ66" s="898"/>
      <c r="FK66" s="898"/>
      <c r="FL66" s="898"/>
      <c r="FM66" s="898"/>
      <c r="FN66" s="898"/>
      <c r="FO66" s="898"/>
      <c r="FP66" s="898"/>
      <c r="FQ66" s="898"/>
      <c r="FR66" s="898"/>
      <c r="FS66" s="898"/>
      <c r="FT66" s="898"/>
      <c r="FU66" s="898"/>
      <c r="FV66" s="898"/>
      <c r="FW66" s="898"/>
      <c r="FX66" s="898"/>
      <c r="FY66" s="898"/>
      <c r="FZ66" s="898"/>
      <c r="GA66" s="898"/>
      <c r="GB66" s="898"/>
      <c r="GC66" s="898"/>
      <c r="GD66" s="898"/>
      <c r="GE66" s="898"/>
      <c r="GF66" s="898"/>
      <c r="GG66" s="898"/>
      <c r="GH66" s="898"/>
      <c r="GI66" s="898"/>
      <c r="GJ66" s="898"/>
      <c r="GK66" s="898"/>
      <c r="GL66" s="898"/>
      <c r="GM66" s="898"/>
      <c r="GN66" s="898"/>
      <c r="GO66" s="898"/>
      <c r="GP66" s="898"/>
      <c r="GQ66" s="898"/>
      <c r="GR66" s="898"/>
      <c r="GS66" s="898"/>
      <c r="GT66" s="898"/>
      <c r="GU66" s="898"/>
      <c r="GV66" s="898"/>
      <c r="GW66" s="898"/>
      <c r="GX66" s="898"/>
      <c r="GY66" s="898"/>
      <c r="GZ66" s="898"/>
      <c r="HA66" s="898"/>
      <c r="HB66" s="898"/>
      <c r="HC66" s="898"/>
      <c r="HD66" s="898"/>
      <c r="HE66" s="898"/>
      <c r="HF66" s="898"/>
      <c r="HG66" s="898"/>
      <c r="HH66" s="898"/>
      <c r="HI66" s="898"/>
      <c r="HJ66" s="898"/>
      <c r="HK66" s="898"/>
      <c r="HL66" s="898"/>
      <c r="HM66" s="898"/>
      <c r="HN66" s="898"/>
      <c r="HO66" s="898"/>
      <c r="HP66" s="898"/>
      <c r="HQ66" s="898"/>
      <c r="HR66" s="898"/>
      <c r="HS66" s="898"/>
      <c r="HT66" s="898"/>
      <c r="HU66" s="898"/>
      <c r="HV66" s="898"/>
      <c r="HW66" s="898"/>
      <c r="HX66" s="898"/>
      <c r="HY66" s="898"/>
      <c r="HZ66" s="898"/>
      <c r="IA66" s="898"/>
      <c r="IB66" s="898"/>
      <c r="IC66" s="898"/>
      <c r="ID66" s="898"/>
      <c r="IE66" s="898"/>
      <c r="IF66" s="898"/>
      <c r="IG66" s="898"/>
      <c r="IH66" s="898"/>
      <c r="II66" s="898"/>
      <c r="IJ66" s="898"/>
      <c r="IK66" s="898"/>
      <c r="IL66" s="898"/>
      <c r="IM66" s="898"/>
      <c r="IN66" s="898"/>
      <c r="IO66" s="898"/>
      <c r="IP66" s="898"/>
      <c r="IQ66" s="898"/>
      <c r="IR66" s="898"/>
      <c r="IS66" s="898"/>
      <c r="IT66" s="898"/>
      <c r="IU66" s="898"/>
      <c r="IV66" s="898"/>
    </row>
    <row r="67" spans="1:256" ht="20.100000000000001" customHeight="1">
      <c r="A67" s="898"/>
      <c r="B67" s="898"/>
      <c r="C67" s="898"/>
      <c r="D67" s="917"/>
      <c r="E67" s="898"/>
      <c r="F67" s="898"/>
      <c r="G67" s="898"/>
      <c r="H67" s="919"/>
      <c r="I67" s="898"/>
      <c r="J67" s="920"/>
      <c r="K67" s="898"/>
      <c r="L67" s="917"/>
      <c r="M67" s="898"/>
      <c r="N67" s="898"/>
      <c r="O67" s="911"/>
      <c r="P67" s="911"/>
      <c r="Q67" s="898"/>
      <c r="R67" s="898"/>
      <c r="S67" s="898"/>
      <c r="T67" s="898"/>
      <c r="U67" s="898"/>
      <c r="V67" s="898"/>
      <c r="W67" s="898"/>
      <c r="X67" s="898"/>
      <c r="Y67" s="898"/>
      <c r="Z67" s="898"/>
      <c r="AA67" s="898"/>
      <c r="AB67" s="898"/>
      <c r="AC67" s="898"/>
      <c r="AD67" s="898"/>
      <c r="AE67" s="898"/>
      <c r="AF67" s="898"/>
      <c r="AG67" s="898"/>
      <c r="AH67" s="898"/>
      <c r="AI67" s="898"/>
      <c r="AJ67" s="898"/>
      <c r="AK67" s="898"/>
      <c r="AL67" s="898"/>
      <c r="AM67" s="898"/>
      <c r="AN67" s="898"/>
      <c r="AO67" s="898"/>
      <c r="AP67" s="898"/>
      <c r="AQ67" s="898"/>
      <c r="AR67" s="898"/>
      <c r="AS67" s="898"/>
      <c r="AT67" s="898"/>
      <c r="AU67" s="898"/>
      <c r="AV67" s="898"/>
      <c r="AW67" s="898"/>
      <c r="AX67" s="898"/>
      <c r="AY67" s="898"/>
      <c r="AZ67" s="898"/>
      <c r="BA67" s="898"/>
      <c r="BB67" s="898"/>
      <c r="BC67" s="898"/>
      <c r="BD67" s="898"/>
      <c r="BE67" s="898"/>
      <c r="BF67" s="898"/>
      <c r="BG67" s="898"/>
      <c r="BH67" s="898"/>
      <c r="BI67" s="898"/>
      <c r="BJ67" s="898"/>
      <c r="BK67" s="898"/>
      <c r="BL67" s="898"/>
      <c r="BM67" s="898"/>
      <c r="BN67" s="898"/>
      <c r="BO67" s="898"/>
      <c r="BP67" s="898"/>
      <c r="BQ67" s="898"/>
      <c r="BR67" s="898"/>
      <c r="BS67" s="898"/>
      <c r="BT67" s="898"/>
      <c r="BU67" s="898"/>
      <c r="BV67" s="898"/>
      <c r="BW67" s="898"/>
      <c r="BX67" s="898"/>
      <c r="BY67" s="898"/>
      <c r="BZ67" s="898"/>
      <c r="CA67" s="898"/>
      <c r="CB67" s="898"/>
      <c r="CC67" s="898"/>
      <c r="CD67" s="898"/>
      <c r="CE67" s="898"/>
      <c r="CF67" s="898"/>
      <c r="CG67" s="898"/>
      <c r="CH67" s="898"/>
      <c r="CI67" s="898"/>
      <c r="CJ67" s="898"/>
      <c r="CK67" s="898"/>
      <c r="CL67" s="898"/>
      <c r="CM67" s="898"/>
      <c r="CN67" s="898"/>
      <c r="CO67" s="898"/>
      <c r="CP67" s="898"/>
      <c r="CQ67" s="898"/>
      <c r="CR67" s="898"/>
      <c r="CS67" s="898"/>
      <c r="CT67" s="898"/>
      <c r="CU67" s="898"/>
      <c r="CV67" s="898"/>
      <c r="CW67" s="898"/>
      <c r="CX67" s="898"/>
      <c r="CY67" s="898"/>
      <c r="CZ67" s="898"/>
      <c r="DA67" s="898"/>
      <c r="DB67" s="898"/>
      <c r="DC67" s="898"/>
      <c r="DD67" s="898"/>
      <c r="DE67" s="898"/>
      <c r="DF67" s="898"/>
      <c r="DG67" s="898"/>
      <c r="DH67" s="898"/>
      <c r="DI67" s="898"/>
      <c r="DJ67" s="898"/>
      <c r="DK67" s="898"/>
      <c r="DL67" s="898"/>
      <c r="DM67" s="898"/>
      <c r="DN67" s="898"/>
      <c r="DO67" s="898"/>
      <c r="DP67" s="898"/>
      <c r="DQ67" s="898"/>
      <c r="DR67" s="898"/>
      <c r="DS67" s="898"/>
      <c r="DT67" s="898"/>
      <c r="DU67" s="898"/>
      <c r="DV67" s="898"/>
      <c r="DW67" s="898"/>
      <c r="DX67" s="898"/>
      <c r="DY67" s="898"/>
      <c r="DZ67" s="898"/>
      <c r="EA67" s="898"/>
      <c r="EB67" s="898"/>
      <c r="EC67" s="898"/>
      <c r="ED67" s="898"/>
      <c r="EE67" s="898"/>
      <c r="EF67" s="898"/>
      <c r="EG67" s="898"/>
      <c r="EH67" s="898"/>
      <c r="EI67" s="898"/>
      <c r="EJ67" s="898"/>
      <c r="EK67" s="898"/>
      <c r="EL67" s="898"/>
      <c r="EM67" s="898"/>
      <c r="EN67" s="898"/>
      <c r="EO67" s="898"/>
      <c r="EP67" s="898"/>
      <c r="EQ67" s="898"/>
      <c r="ER67" s="898"/>
      <c r="ES67" s="898"/>
      <c r="ET67" s="898"/>
      <c r="EU67" s="898"/>
      <c r="EV67" s="898"/>
      <c r="EW67" s="898"/>
      <c r="EX67" s="898"/>
      <c r="EY67" s="898"/>
      <c r="EZ67" s="898"/>
      <c r="FA67" s="898"/>
      <c r="FB67" s="898"/>
      <c r="FC67" s="898"/>
      <c r="FD67" s="898"/>
      <c r="FE67" s="898"/>
      <c r="FF67" s="898"/>
      <c r="FG67" s="898"/>
      <c r="FH67" s="898"/>
      <c r="FI67" s="898"/>
      <c r="FJ67" s="898"/>
      <c r="FK67" s="898"/>
      <c r="FL67" s="898"/>
      <c r="FM67" s="898"/>
      <c r="FN67" s="898"/>
      <c r="FO67" s="898"/>
      <c r="FP67" s="898"/>
      <c r="FQ67" s="898"/>
      <c r="FR67" s="898"/>
      <c r="FS67" s="898"/>
      <c r="FT67" s="898"/>
      <c r="FU67" s="898"/>
      <c r="FV67" s="898"/>
      <c r="FW67" s="898"/>
      <c r="FX67" s="898"/>
      <c r="FY67" s="898"/>
      <c r="FZ67" s="898"/>
      <c r="GA67" s="898"/>
      <c r="GB67" s="898"/>
      <c r="GC67" s="898"/>
      <c r="GD67" s="898"/>
      <c r="GE67" s="898"/>
      <c r="GF67" s="898"/>
      <c r="GG67" s="898"/>
      <c r="GH67" s="898"/>
      <c r="GI67" s="898"/>
      <c r="GJ67" s="898"/>
      <c r="GK67" s="898"/>
      <c r="GL67" s="898"/>
      <c r="GM67" s="898"/>
      <c r="GN67" s="898"/>
      <c r="GO67" s="898"/>
      <c r="GP67" s="898"/>
      <c r="GQ67" s="898"/>
      <c r="GR67" s="898"/>
      <c r="GS67" s="898"/>
      <c r="GT67" s="898"/>
      <c r="GU67" s="898"/>
      <c r="GV67" s="898"/>
      <c r="GW67" s="898"/>
      <c r="GX67" s="898"/>
      <c r="GY67" s="898"/>
      <c r="GZ67" s="898"/>
      <c r="HA67" s="898"/>
      <c r="HB67" s="898"/>
      <c r="HC67" s="898"/>
      <c r="HD67" s="898"/>
      <c r="HE67" s="898"/>
      <c r="HF67" s="898"/>
      <c r="HG67" s="898"/>
      <c r="HH67" s="898"/>
      <c r="HI67" s="898"/>
      <c r="HJ67" s="898"/>
      <c r="HK67" s="898"/>
      <c r="HL67" s="898"/>
      <c r="HM67" s="898"/>
      <c r="HN67" s="898"/>
      <c r="HO67" s="898"/>
      <c r="HP67" s="898"/>
      <c r="HQ67" s="898"/>
      <c r="HR67" s="898"/>
      <c r="HS67" s="898"/>
      <c r="HT67" s="898"/>
      <c r="HU67" s="898"/>
      <c r="HV67" s="898"/>
      <c r="HW67" s="898"/>
      <c r="HX67" s="898"/>
      <c r="HY67" s="898"/>
      <c r="HZ67" s="898"/>
      <c r="IA67" s="898"/>
      <c r="IB67" s="898"/>
      <c r="IC67" s="898"/>
      <c r="ID67" s="898"/>
      <c r="IE67" s="898"/>
      <c r="IF67" s="898"/>
      <c r="IG67" s="898"/>
      <c r="IH67" s="898"/>
      <c r="II67" s="898"/>
      <c r="IJ67" s="898"/>
      <c r="IK67" s="898"/>
      <c r="IL67" s="898"/>
      <c r="IM67" s="898"/>
      <c r="IN67" s="898"/>
      <c r="IO67" s="898"/>
      <c r="IP67" s="898"/>
      <c r="IQ67" s="898"/>
      <c r="IR67" s="898"/>
      <c r="IS67" s="898"/>
      <c r="IT67" s="898"/>
      <c r="IU67" s="898"/>
      <c r="IV67" s="898"/>
    </row>
    <row r="68" spans="1:256" ht="20.100000000000001" customHeight="1">
      <c r="A68" s="898"/>
      <c r="B68" s="898"/>
      <c r="C68" s="898"/>
      <c r="D68" s="917"/>
      <c r="E68" s="898"/>
      <c r="F68" s="898"/>
      <c r="G68" s="898"/>
      <c r="H68" s="921"/>
      <c r="I68" s="898"/>
      <c r="J68" s="920"/>
      <c r="K68" s="898"/>
      <c r="L68" s="917"/>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c r="AP68" s="898"/>
      <c r="AQ68" s="898"/>
      <c r="AR68" s="898"/>
      <c r="AS68" s="898"/>
      <c r="AT68" s="898"/>
      <c r="AU68" s="898"/>
      <c r="AV68" s="898"/>
      <c r="AW68" s="898"/>
      <c r="AX68" s="898"/>
      <c r="AY68" s="898"/>
      <c r="AZ68" s="898"/>
      <c r="BA68" s="898"/>
      <c r="BB68" s="898"/>
      <c r="BC68" s="898"/>
      <c r="BD68" s="898"/>
      <c r="BE68" s="898"/>
      <c r="BF68" s="898"/>
      <c r="BG68" s="898"/>
      <c r="BH68" s="898"/>
      <c r="BI68" s="898"/>
      <c r="BJ68" s="898"/>
      <c r="BK68" s="898"/>
      <c r="BL68" s="898"/>
      <c r="BM68" s="898"/>
      <c r="BN68" s="898"/>
      <c r="BO68" s="898"/>
      <c r="BP68" s="898"/>
      <c r="BQ68" s="898"/>
      <c r="BR68" s="898"/>
      <c r="BS68" s="898"/>
      <c r="BT68" s="898"/>
      <c r="BU68" s="898"/>
      <c r="BV68" s="898"/>
      <c r="BW68" s="898"/>
      <c r="BX68" s="898"/>
      <c r="BY68" s="898"/>
      <c r="BZ68" s="898"/>
      <c r="CA68" s="898"/>
      <c r="CB68" s="898"/>
      <c r="CC68" s="898"/>
      <c r="CD68" s="898"/>
      <c r="CE68" s="898"/>
      <c r="CF68" s="898"/>
      <c r="CG68" s="898"/>
      <c r="CH68" s="898"/>
      <c r="CI68" s="898"/>
      <c r="CJ68" s="898"/>
      <c r="CK68" s="898"/>
      <c r="CL68" s="898"/>
      <c r="CM68" s="898"/>
      <c r="CN68" s="898"/>
      <c r="CO68" s="898"/>
      <c r="CP68" s="898"/>
      <c r="CQ68" s="898"/>
      <c r="CR68" s="898"/>
      <c r="CS68" s="898"/>
      <c r="CT68" s="898"/>
      <c r="CU68" s="898"/>
      <c r="CV68" s="898"/>
      <c r="CW68" s="898"/>
      <c r="CX68" s="898"/>
      <c r="CY68" s="898"/>
      <c r="CZ68" s="898"/>
      <c r="DA68" s="898"/>
      <c r="DB68" s="898"/>
      <c r="DC68" s="898"/>
      <c r="DD68" s="898"/>
      <c r="DE68" s="898"/>
      <c r="DF68" s="898"/>
      <c r="DG68" s="898"/>
      <c r="DH68" s="898"/>
      <c r="DI68" s="898"/>
      <c r="DJ68" s="898"/>
      <c r="DK68" s="898"/>
      <c r="DL68" s="898"/>
      <c r="DM68" s="898"/>
      <c r="DN68" s="898"/>
      <c r="DO68" s="898"/>
      <c r="DP68" s="898"/>
      <c r="DQ68" s="898"/>
      <c r="DR68" s="898"/>
      <c r="DS68" s="898"/>
      <c r="DT68" s="898"/>
      <c r="DU68" s="898"/>
      <c r="DV68" s="898"/>
      <c r="DW68" s="898"/>
      <c r="DX68" s="898"/>
      <c r="DY68" s="898"/>
      <c r="DZ68" s="898"/>
      <c r="EA68" s="898"/>
      <c r="EB68" s="898"/>
      <c r="EC68" s="898"/>
      <c r="ED68" s="898"/>
      <c r="EE68" s="898"/>
      <c r="EF68" s="898"/>
      <c r="EG68" s="898"/>
      <c r="EH68" s="898"/>
      <c r="EI68" s="898"/>
      <c r="EJ68" s="898"/>
      <c r="EK68" s="898"/>
      <c r="EL68" s="898"/>
      <c r="EM68" s="898"/>
      <c r="EN68" s="898"/>
      <c r="EO68" s="898"/>
      <c r="EP68" s="898"/>
      <c r="EQ68" s="898"/>
      <c r="ER68" s="898"/>
      <c r="ES68" s="898"/>
      <c r="ET68" s="898"/>
      <c r="EU68" s="898"/>
      <c r="EV68" s="898"/>
      <c r="EW68" s="898"/>
      <c r="EX68" s="898"/>
      <c r="EY68" s="898"/>
      <c r="EZ68" s="898"/>
      <c r="FA68" s="898"/>
      <c r="FB68" s="898"/>
      <c r="FC68" s="898"/>
      <c r="FD68" s="898"/>
      <c r="FE68" s="898"/>
      <c r="FF68" s="898"/>
      <c r="FG68" s="898"/>
      <c r="FH68" s="898"/>
      <c r="FI68" s="898"/>
      <c r="FJ68" s="898"/>
      <c r="FK68" s="898"/>
      <c r="FL68" s="898"/>
      <c r="FM68" s="898"/>
      <c r="FN68" s="898"/>
      <c r="FO68" s="898"/>
      <c r="FP68" s="898"/>
      <c r="FQ68" s="898"/>
      <c r="FR68" s="898"/>
      <c r="FS68" s="898"/>
      <c r="FT68" s="898"/>
      <c r="FU68" s="898"/>
      <c r="FV68" s="898"/>
      <c r="FW68" s="898"/>
      <c r="FX68" s="898"/>
      <c r="FY68" s="898"/>
      <c r="FZ68" s="898"/>
      <c r="GA68" s="898"/>
      <c r="GB68" s="898"/>
      <c r="GC68" s="898"/>
      <c r="GD68" s="898"/>
      <c r="GE68" s="898"/>
      <c r="GF68" s="898"/>
      <c r="GG68" s="898"/>
      <c r="GH68" s="898"/>
      <c r="GI68" s="898"/>
      <c r="GJ68" s="898"/>
      <c r="GK68" s="898"/>
      <c r="GL68" s="898"/>
      <c r="GM68" s="898"/>
      <c r="GN68" s="898"/>
      <c r="GO68" s="898"/>
      <c r="GP68" s="898"/>
      <c r="GQ68" s="898"/>
      <c r="GR68" s="898"/>
      <c r="GS68" s="898"/>
      <c r="GT68" s="898"/>
      <c r="GU68" s="898"/>
      <c r="GV68" s="898"/>
      <c r="GW68" s="898"/>
      <c r="GX68" s="898"/>
      <c r="GY68" s="898"/>
      <c r="GZ68" s="898"/>
      <c r="HA68" s="898"/>
      <c r="HB68" s="898"/>
      <c r="HC68" s="898"/>
      <c r="HD68" s="898"/>
      <c r="HE68" s="898"/>
      <c r="HF68" s="898"/>
      <c r="HG68" s="898"/>
      <c r="HH68" s="898"/>
      <c r="HI68" s="898"/>
      <c r="HJ68" s="898"/>
      <c r="HK68" s="898"/>
      <c r="HL68" s="898"/>
      <c r="HM68" s="898"/>
      <c r="HN68" s="898"/>
      <c r="HO68" s="898"/>
      <c r="HP68" s="898"/>
      <c r="HQ68" s="898"/>
      <c r="HR68" s="898"/>
      <c r="HS68" s="898"/>
      <c r="HT68" s="898"/>
      <c r="HU68" s="898"/>
      <c r="HV68" s="898"/>
      <c r="HW68" s="898"/>
      <c r="HX68" s="898"/>
      <c r="HY68" s="898"/>
      <c r="HZ68" s="898"/>
      <c r="IA68" s="898"/>
      <c r="IB68" s="898"/>
      <c r="IC68" s="898"/>
      <c r="ID68" s="898"/>
      <c r="IE68" s="898"/>
      <c r="IF68" s="898"/>
      <c r="IG68" s="898"/>
      <c r="IH68" s="898"/>
      <c r="II68" s="898"/>
      <c r="IJ68" s="898"/>
      <c r="IK68" s="898"/>
      <c r="IL68" s="898"/>
      <c r="IM68" s="898"/>
      <c r="IN68" s="898"/>
      <c r="IO68" s="898"/>
      <c r="IP68" s="898"/>
      <c r="IQ68" s="898"/>
      <c r="IR68" s="898"/>
      <c r="IS68" s="898"/>
      <c r="IT68" s="898"/>
      <c r="IU68" s="898"/>
      <c r="IV68" s="898"/>
    </row>
    <row r="69" spans="1:256" ht="20.100000000000001" customHeight="1">
      <c r="A69" s="898"/>
      <c r="B69" s="898"/>
      <c r="C69" s="898"/>
      <c r="D69" s="917"/>
      <c r="E69" s="898"/>
      <c r="F69" s="898"/>
      <c r="G69" s="898"/>
      <c r="H69" s="919"/>
      <c r="I69" s="898"/>
      <c r="J69" s="920"/>
      <c r="K69" s="898"/>
      <c r="L69" s="917"/>
      <c r="M69" s="898"/>
      <c r="N69" s="898"/>
      <c r="O69" s="911"/>
      <c r="P69" s="911"/>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8"/>
      <c r="AZ69" s="898"/>
      <c r="BA69" s="898"/>
      <c r="BB69" s="898"/>
      <c r="BC69" s="898"/>
      <c r="BD69" s="898"/>
      <c r="BE69" s="898"/>
      <c r="BF69" s="898"/>
      <c r="BG69" s="898"/>
      <c r="BH69" s="898"/>
      <c r="BI69" s="898"/>
      <c r="BJ69" s="898"/>
      <c r="BK69" s="898"/>
      <c r="BL69" s="898"/>
      <c r="BM69" s="898"/>
      <c r="BN69" s="898"/>
      <c r="BO69" s="898"/>
      <c r="BP69" s="898"/>
      <c r="BQ69" s="898"/>
      <c r="BR69" s="898"/>
      <c r="BS69" s="898"/>
      <c r="BT69" s="898"/>
      <c r="BU69" s="898"/>
      <c r="BV69" s="898"/>
      <c r="BW69" s="898"/>
      <c r="BX69" s="898"/>
      <c r="BY69" s="898"/>
      <c r="BZ69" s="898"/>
      <c r="CA69" s="898"/>
      <c r="CB69" s="898"/>
      <c r="CC69" s="898"/>
      <c r="CD69" s="898"/>
      <c r="CE69" s="898"/>
      <c r="CF69" s="898"/>
      <c r="CG69" s="898"/>
      <c r="CH69" s="898"/>
      <c r="CI69" s="898"/>
      <c r="CJ69" s="898"/>
      <c r="CK69" s="898"/>
      <c r="CL69" s="898"/>
      <c r="CM69" s="898"/>
      <c r="CN69" s="898"/>
      <c r="CO69" s="898"/>
      <c r="CP69" s="898"/>
      <c r="CQ69" s="898"/>
      <c r="CR69" s="898"/>
      <c r="CS69" s="898"/>
      <c r="CT69" s="898"/>
      <c r="CU69" s="898"/>
      <c r="CV69" s="898"/>
      <c r="CW69" s="898"/>
      <c r="CX69" s="898"/>
      <c r="CY69" s="898"/>
      <c r="CZ69" s="898"/>
      <c r="DA69" s="898"/>
      <c r="DB69" s="898"/>
      <c r="DC69" s="898"/>
      <c r="DD69" s="898"/>
      <c r="DE69" s="898"/>
      <c r="DF69" s="898"/>
      <c r="DG69" s="898"/>
      <c r="DH69" s="898"/>
      <c r="DI69" s="898"/>
      <c r="DJ69" s="898"/>
      <c r="DK69" s="898"/>
      <c r="DL69" s="898"/>
      <c r="DM69" s="898"/>
      <c r="DN69" s="898"/>
      <c r="DO69" s="898"/>
      <c r="DP69" s="898"/>
      <c r="DQ69" s="898"/>
      <c r="DR69" s="898"/>
      <c r="DS69" s="898"/>
      <c r="DT69" s="898"/>
      <c r="DU69" s="898"/>
      <c r="DV69" s="898"/>
      <c r="DW69" s="898"/>
      <c r="DX69" s="898"/>
      <c r="DY69" s="898"/>
      <c r="DZ69" s="898"/>
      <c r="EA69" s="898"/>
      <c r="EB69" s="898"/>
      <c r="EC69" s="898"/>
      <c r="ED69" s="898"/>
      <c r="EE69" s="898"/>
      <c r="EF69" s="898"/>
      <c r="EG69" s="898"/>
      <c r="EH69" s="898"/>
      <c r="EI69" s="898"/>
      <c r="EJ69" s="898"/>
      <c r="EK69" s="898"/>
      <c r="EL69" s="898"/>
      <c r="EM69" s="898"/>
      <c r="EN69" s="898"/>
      <c r="EO69" s="898"/>
      <c r="EP69" s="898"/>
      <c r="EQ69" s="898"/>
      <c r="ER69" s="898"/>
      <c r="ES69" s="898"/>
      <c r="ET69" s="898"/>
      <c r="EU69" s="898"/>
      <c r="EV69" s="898"/>
      <c r="EW69" s="898"/>
      <c r="EX69" s="898"/>
      <c r="EY69" s="898"/>
      <c r="EZ69" s="898"/>
      <c r="FA69" s="898"/>
      <c r="FB69" s="898"/>
      <c r="FC69" s="898"/>
      <c r="FD69" s="898"/>
      <c r="FE69" s="898"/>
      <c r="FF69" s="898"/>
      <c r="FG69" s="898"/>
      <c r="FH69" s="898"/>
      <c r="FI69" s="898"/>
      <c r="FJ69" s="898"/>
      <c r="FK69" s="898"/>
      <c r="FL69" s="898"/>
      <c r="FM69" s="898"/>
      <c r="FN69" s="898"/>
      <c r="FO69" s="898"/>
      <c r="FP69" s="898"/>
      <c r="FQ69" s="898"/>
      <c r="FR69" s="898"/>
      <c r="FS69" s="898"/>
      <c r="FT69" s="898"/>
      <c r="FU69" s="898"/>
      <c r="FV69" s="898"/>
      <c r="FW69" s="898"/>
      <c r="FX69" s="898"/>
      <c r="FY69" s="898"/>
      <c r="FZ69" s="898"/>
      <c r="GA69" s="898"/>
      <c r="GB69" s="898"/>
      <c r="GC69" s="898"/>
      <c r="GD69" s="898"/>
      <c r="GE69" s="898"/>
      <c r="GF69" s="898"/>
      <c r="GG69" s="898"/>
      <c r="GH69" s="898"/>
      <c r="GI69" s="898"/>
      <c r="GJ69" s="898"/>
      <c r="GK69" s="898"/>
      <c r="GL69" s="898"/>
      <c r="GM69" s="898"/>
      <c r="GN69" s="898"/>
      <c r="GO69" s="898"/>
      <c r="GP69" s="898"/>
      <c r="GQ69" s="898"/>
      <c r="GR69" s="898"/>
      <c r="GS69" s="898"/>
      <c r="GT69" s="898"/>
      <c r="GU69" s="898"/>
      <c r="GV69" s="898"/>
      <c r="GW69" s="898"/>
      <c r="GX69" s="898"/>
      <c r="GY69" s="898"/>
      <c r="GZ69" s="898"/>
      <c r="HA69" s="898"/>
      <c r="HB69" s="898"/>
      <c r="HC69" s="898"/>
      <c r="HD69" s="898"/>
      <c r="HE69" s="898"/>
      <c r="HF69" s="898"/>
      <c r="HG69" s="898"/>
      <c r="HH69" s="898"/>
      <c r="HI69" s="898"/>
      <c r="HJ69" s="898"/>
      <c r="HK69" s="898"/>
      <c r="HL69" s="898"/>
      <c r="HM69" s="898"/>
      <c r="HN69" s="898"/>
      <c r="HO69" s="898"/>
      <c r="HP69" s="898"/>
      <c r="HQ69" s="898"/>
      <c r="HR69" s="898"/>
      <c r="HS69" s="898"/>
      <c r="HT69" s="898"/>
      <c r="HU69" s="898"/>
      <c r="HV69" s="898"/>
      <c r="HW69" s="898"/>
      <c r="HX69" s="898"/>
      <c r="HY69" s="898"/>
      <c r="HZ69" s="898"/>
      <c r="IA69" s="898"/>
      <c r="IB69" s="898"/>
      <c r="IC69" s="898"/>
      <c r="ID69" s="898"/>
      <c r="IE69" s="898"/>
      <c r="IF69" s="898"/>
      <c r="IG69" s="898"/>
      <c r="IH69" s="898"/>
      <c r="II69" s="898"/>
      <c r="IJ69" s="898"/>
      <c r="IK69" s="898"/>
      <c r="IL69" s="898"/>
      <c r="IM69" s="898"/>
      <c r="IN69" s="898"/>
      <c r="IO69" s="898"/>
      <c r="IP69" s="898"/>
      <c r="IQ69" s="898"/>
      <c r="IR69" s="898"/>
      <c r="IS69" s="898"/>
      <c r="IT69" s="898"/>
      <c r="IU69" s="898"/>
      <c r="IV69" s="898"/>
    </row>
    <row r="70" spans="1:256" ht="20.100000000000001" customHeight="1">
      <c r="A70" s="898"/>
      <c r="B70" s="898"/>
      <c r="C70" s="898"/>
      <c r="D70" s="917"/>
      <c r="E70" s="898"/>
      <c r="F70" s="898"/>
      <c r="G70" s="898"/>
      <c r="H70" s="919"/>
      <c r="I70" s="898"/>
      <c r="J70" s="920"/>
      <c r="K70" s="898"/>
      <c r="L70" s="917"/>
      <c r="M70" s="898"/>
      <c r="N70" s="898"/>
      <c r="O70" s="898"/>
      <c r="P70" s="898"/>
      <c r="Q70" s="898"/>
      <c r="R70" s="898"/>
      <c r="S70" s="898"/>
      <c r="T70" s="898"/>
      <c r="U70" s="898"/>
      <c r="V70" s="898"/>
      <c r="W70" s="898"/>
      <c r="X70" s="898"/>
      <c r="Y70" s="898"/>
      <c r="Z70" s="898"/>
      <c r="AA70" s="898"/>
      <c r="AB70" s="898"/>
      <c r="AC70" s="898"/>
      <c r="AD70" s="898"/>
      <c r="AE70" s="898"/>
      <c r="AF70" s="898"/>
      <c r="AG70" s="898"/>
      <c r="AH70" s="898"/>
      <c r="AI70" s="898"/>
      <c r="AJ70" s="898"/>
      <c r="AK70" s="898"/>
      <c r="AL70" s="898"/>
      <c r="AM70" s="898"/>
      <c r="AN70" s="898"/>
      <c r="AO70" s="898"/>
      <c r="AP70" s="898"/>
      <c r="AQ70" s="898"/>
      <c r="AR70" s="898"/>
      <c r="AS70" s="898"/>
      <c r="AT70" s="898"/>
      <c r="AU70" s="898"/>
      <c r="AV70" s="898"/>
      <c r="AW70" s="898"/>
      <c r="AX70" s="898"/>
      <c r="AY70" s="898"/>
      <c r="AZ70" s="898"/>
      <c r="BA70" s="898"/>
      <c r="BB70" s="898"/>
      <c r="BC70" s="898"/>
      <c r="BD70" s="898"/>
      <c r="BE70" s="898"/>
      <c r="BF70" s="898"/>
      <c r="BG70" s="898"/>
      <c r="BH70" s="898"/>
      <c r="BI70" s="898"/>
      <c r="BJ70" s="898"/>
      <c r="BK70" s="898"/>
      <c r="BL70" s="898"/>
      <c r="BM70" s="898"/>
      <c r="BN70" s="898"/>
      <c r="BO70" s="898"/>
      <c r="BP70" s="898"/>
      <c r="BQ70" s="898"/>
      <c r="BR70" s="898"/>
      <c r="BS70" s="898"/>
      <c r="BT70" s="898"/>
      <c r="BU70" s="898"/>
      <c r="BV70" s="898"/>
      <c r="BW70" s="898"/>
      <c r="BX70" s="898"/>
      <c r="BY70" s="898"/>
      <c r="BZ70" s="898"/>
      <c r="CA70" s="898"/>
      <c r="CB70" s="898"/>
      <c r="CC70" s="898"/>
      <c r="CD70" s="898"/>
      <c r="CE70" s="898"/>
      <c r="CF70" s="898"/>
      <c r="CG70" s="898"/>
      <c r="CH70" s="898"/>
      <c r="CI70" s="898"/>
      <c r="CJ70" s="898"/>
      <c r="CK70" s="898"/>
      <c r="CL70" s="898"/>
      <c r="CM70" s="898"/>
      <c r="CN70" s="898"/>
      <c r="CO70" s="898"/>
      <c r="CP70" s="898"/>
      <c r="CQ70" s="898"/>
      <c r="CR70" s="898"/>
      <c r="CS70" s="898"/>
      <c r="CT70" s="898"/>
      <c r="CU70" s="898"/>
      <c r="CV70" s="898"/>
      <c r="CW70" s="898"/>
      <c r="CX70" s="898"/>
      <c r="CY70" s="898"/>
      <c r="CZ70" s="898"/>
      <c r="DA70" s="898"/>
      <c r="DB70" s="898"/>
      <c r="DC70" s="898"/>
      <c r="DD70" s="898"/>
      <c r="DE70" s="898"/>
      <c r="DF70" s="898"/>
      <c r="DG70" s="898"/>
      <c r="DH70" s="898"/>
      <c r="DI70" s="898"/>
      <c r="DJ70" s="898"/>
      <c r="DK70" s="898"/>
      <c r="DL70" s="898"/>
      <c r="DM70" s="898"/>
      <c r="DN70" s="898"/>
      <c r="DO70" s="898"/>
      <c r="DP70" s="898"/>
      <c r="DQ70" s="898"/>
      <c r="DR70" s="898"/>
      <c r="DS70" s="898"/>
      <c r="DT70" s="898"/>
      <c r="DU70" s="898"/>
      <c r="DV70" s="898"/>
      <c r="DW70" s="898"/>
      <c r="DX70" s="898"/>
      <c r="DY70" s="898"/>
      <c r="DZ70" s="898"/>
      <c r="EA70" s="898"/>
      <c r="EB70" s="898"/>
      <c r="EC70" s="898"/>
      <c r="ED70" s="898"/>
      <c r="EE70" s="898"/>
      <c r="EF70" s="898"/>
      <c r="EG70" s="898"/>
      <c r="EH70" s="898"/>
      <c r="EI70" s="898"/>
      <c r="EJ70" s="898"/>
      <c r="EK70" s="898"/>
      <c r="EL70" s="898"/>
      <c r="EM70" s="898"/>
      <c r="EN70" s="898"/>
      <c r="EO70" s="898"/>
      <c r="EP70" s="898"/>
      <c r="EQ70" s="898"/>
      <c r="ER70" s="898"/>
      <c r="ES70" s="898"/>
      <c r="ET70" s="898"/>
      <c r="EU70" s="898"/>
      <c r="EV70" s="898"/>
      <c r="EW70" s="898"/>
      <c r="EX70" s="898"/>
      <c r="EY70" s="898"/>
      <c r="EZ70" s="898"/>
      <c r="FA70" s="898"/>
      <c r="FB70" s="898"/>
      <c r="FC70" s="898"/>
      <c r="FD70" s="898"/>
      <c r="FE70" s="898"/>
      <c r="FF70" s="898"/>
      <c r="FG70" s="898"/>
      <c r="FH70" s="898"/>
      <c r="FI70" s="898"/>
      <c r="FJ70" s="898"/>
      <c r="FK70" s="898"/>
      <c r="FL70" s="898"/>
      <c r="FM70" s="898"/>
      <c r="FN70" s="898"/>
      <c r="FO70" s="898"/>
      <c r="FP70" s="898"/>
      <c r="FQ70" s="898"/>
      <c r="FR70" s="898"/>
      <c r="FS70" s="898"/>
      <c r="FT70" s="898"/>
      <c r="FU70" s="898"/>
      <c r="FV70" s="898"/>
      <c r="FW70" s="898"/>
      <c r="FX70" s="898"/>
      <c r="FY70" s="898"/>
      <c r="FZ70" s="898"/>
      <c r="GA70" s="898"/>
      <c r="GB70" s="898"/>
      <c r="GC70" s="898"/>
      <c r="GD70" s="898"/>
      <c r="GE70" s="898"/>
      <c r="GF70" s="898"/>
      <c r="GG70" s="898"/>
      <c r="GH70" s="898"/>
      <c r="GI70" s="898"/>
      <c r="GJ70" s="898"/>
      <c r="GK70" s="898"/>
      <c r="GL70" s="898"/>
      <c r="GM70" s="898"/>
      <c r="GN70" s="898"/>
      <c r="GO70" s="898"/>
      <c r="GP70" s="898"/>
      <c r="GQ70" s="898"/>
      <c r="GR70" s="898"/>
      <c r="GS70" s="898"/>
      <c r="GT70" s="898"/>
      <c r="GU70" s="898"/>
      <c r="GV70" s="898"/>
      <c r="GW70" s="898"/>
      <c r="GX70" s="898"/>
      <c r="GY70" s="898"/>
      <c r="GZ70" s="898"/>
      <c r="HA70" s="898"/>
      <c r="HB70" s="898"/>
      <c r="HC70" s="898"/>
      <c r="HD70" s="898"/>
      <c r="HE70" s="898"/>
      <c r="HF70" s="898"/>
      <c r="HG70" s="898"/>
      <c r="HH70" s="898"/>
      <c r="HI70" s="898"/>
      <c r="HJ70" s="898"/>
      <c r="HK70" s="898"/>
      <c r="HL70" s="898"/>
      <c r="HM70" s="898"/>
      <c r="HN70" s="898"/>
      <c r="HO70" s="898"/>
      <c r="HP70" s="898"/>
      <c r="HQ70" s="898"/>
      <c r="HR70" s="898"/>
      <c r="HS70" s="898"/>
      <c r="HT70" s="898"/>
      <c r="HU70" s="898"/>
      <c r="HV70" s="898"/>
      <c r="HW70" s="898"/>
      <c r="HX70" s="898"/>
      <c r="HY70" s="898"/>
      <c r="HZ70" s="898"/>
      <c r="IA70" s="898"/>
      <c r="IB70" s="898"/>
      <c r="IC70" s="898"/>
      <c r="ID70" s="898"/>
      <c r="IE70" s="898"/>
      <c r="IF70" s="898"/>
      <c r="IG70" s="898"/>
      <c r="IH70" s="898"/>
      <c r="II70" s="898"/>
      <c r="IJ70" s="898"/>
      <c r="IK70" s="898"/>
      <c r="IL70" s="898"/>
      <c r="IM70" s="898"/>
      <c r="IN70" s="898"/>
      <c r="IO70" s="898"/>
      <c r="IP70" s="898"/>
      <c r="IQ70" s="898"/>
      <c r="IR70" s="898"/>
      <c r="IS70" s="898"/>
      <c r="IT70" s="898"/>
      <c r="IU70" s="898"/>
      <c r="IV70" s="898"/>
    </row>
    <row r="71" spans="1:256" ht="20.100000000000001" customHeight="1">
      <c r="A71" s="898"/>
      <c r="B71" s="898"/>
      <c r="C71" s="898"/>
      <c r="D71" s="917"/>
      <c r="E71" s="898"/>
      <c r="F71" s="898"/>
      <c r="G71" s="898"/>
      <c r="H71" s="922"/>
      <c r="I71" s="898"/>
      <c r="J71" s="920"/>
      <c r="K71" s="898"/>
      <c r="L71" s="917"/>
      <c r="M71" s="898"/>
      <c r="N71" s="898"/>
      <c r="O71" s="911"/>
      <c r="P71" s="911"/>
      <c r="Q71" s="898"/>
      <c r="R71" s="898"/>
      <c r="S71" s="898"/>
      <c r="T71" s="898"/>
      <c r="U71" s="898"/>
      <c r="V71" s="898"/>
      <c r="W71" s="898"/>
      <c r="X71" s="898"/>
      <c r="Y71" s="898"/>
      <c r="Z71" s="898"/>
      <c r="AA71" s="898"/>
      <c r="AB71" s="898"/>
      <c r="AC71" s="898"/>
      <c r="AD71" s="898"/>
      <c r="AE71" s="898"/>
      <c r="AF71" s="898"/>
      <c r="AG71" s="898"/>
      <c r="AH71" s="898"/>
      <c r="AI71" s="898"/>
      <c r="AJ71" s="898"/>
      <c r="AK71" s="898"/>
      <c r="AL71" s="898"/>
      <c r="AM71" s="898"/>
      <c r="AN71" s="898"/>
      <c r="AO71" s="898"/>
      <c r="AP71" s="898"/>
      <c r="AQ71" s="898"/>
      <c r="AR71" s="898"/>
      <c r="AS71" s="898"/>
      <c r="AT71" s="898"/>
      <c r="AU71" s="898"/>
      <c r="AV71" s="898"/>
      <c r="AW71" s="898"/>
      <c r="AX71" s="898"/>
      <c r="AY71" s="898"/>
      <c r="AZ71" s="898"/>
      <c r="BA71" s="898"/>
      <c r="BB71" s="898"/>
      <c r="BC71" s="898"/>
      <c r="BD71" s="898"/>
      <c r="BE71" s="898"/>
      <c r="BF71" s="898"/>
      <c r="BG71" s="898"/>
      <c r="BH71" s="898"/>
      <c r="BI71" s="898"/>
      <c r="BJ71" s="898"/>
      <c r="BK71" s="898"/>
      <c r="BL71" s="898"/>
      <c r="BM71" s="898"/>
      <c r="BN71" s="898"/>
      <c r="BO71" s="898"/>
      <c r="BP71" s="898"/>
      <c r="BQ71" s="898"/>
      <c r="BR71" s="898"/>
      <c r="BS71" s="898"/>
      <c r="BT71" s="898"/>
      <c r="BU71" s="898"/>
      <c r="BV71" s="898"/>
      <c r="BW71" s="898"/>
      <c r="BX71" s="898"/>
      <c r="BY71" s="898"/>
      <c r="BZ71" s="898"/>
      <c r="CA71" s="898"/>
      <c r="CB71" s="898"/>
      <c r="CC71" s="898"/>
      <c r="CD71" s="898"/>
      <c r="CE71" s="898"/>
      <c r="CF71" s="898"/>
      <c r="CG71" s="898"/>
      <c r="CH71" s="898"/>
      <c r="CI71" s="898"/>
      <c r="CJ71" s="898"/>
      <c r="CK71" s="898"/>
      <c r="CL71" s="898"/>
      <c r="CM71" s="898"/>
      <c r="CN71" s="898"/>
      <c r="CO71" s="898"/>
      <c r="CP71" s="898"/>
      <c r="CQ71" s="898"/>
      <c r="CR71" s="898"/>
      <c r="CS71" s="898"/>
      <c r="CT71" s="898"/>
      <c r="CU71" s="898"/>
      <c r="CV71" s="898"/>
      <c r="CW71" s="898"/>
      <c r="CX71" s="898"/>
      <c r="CY71" s="898"/>
      <c r="CZ71" s="898"/>
      <c r="DA71" s="898"/>
      <c r="DB71" s="898"/>
      <c r="DC71" s="898"/>
      <c r="DD71" s="898"/>
      <c r="DE71" s="898"/>
      <c r="DF71" s="898"/>
      <c r="DG71" s="898"/>
      <c r="DH71" s="898"/>
      <c r="DI71" s="898"/>
      <c r="DJ71" s="898"/>
      <c r="DK71" s="898"/>
      <c r="DL71" s="898"/>
      <c r="DM71" s="898"/>
      <c r="DN71" s="898"/>
      <c r="DO71" s="898"/>
      <c r="DP71" s="898"/>
      <c r="DQ71" s="898"/>
      <c r="DR71" s="898"/>
      <c r="DS71" s="898"/>
      <c r="DT71" s="898"/>
      <c r="DU71" s="898"/>
      <c r="DV71" s="898"/>
      <c r="DW71" s="898"/>
      <c r="DX71" s="898"/>
      <c r="DY71" s="898"/>
      <c r="DZ71" s="898"/>
      <c r="EA71" s="898"/>
      <c r="EB71" s="898"/>
      <c r="EC71" s="898"/>
      <c r="ED71" s="898"/>
      <c r="EE71" s="898"/>
      <c r="EF71" s="898"/>
      <c r="EG71" s="898"/>
      <c r="EH71" s="898"/>
      <c r="EI71" s="898"/>
      <c r="EJ71" s="898"/>
      <c r="EK71" s="898"/>
      <c r="EL71" s="898"/>
      <c r="EM71" s="898"/>
      <c r="EN71" s="898"/>
      <c r="EO71" s="898"/>
      <c r="EP71" s="898"/>
      <c r="EQ71" s="898"/>
      <c r="ER71" s="898"/>
      <c r="ES71" s="898"/>
      <c r="ET71" s="898"/>
      <c r="EU71" s="898"/>
      <c r="EV71" s="898"/>
      <c r="EW71" s="898"/>
      <c r="EX71" s="898"/>
      <c r="EY71" s="898"/>
      <c r="EZ71" s="898"/>
      <c r="FA71" s="898"/>
      <c r="FB71" s="898"/>
      <c r="FC71" s="898"/>
      <c r="FD71" s="898"/>
      <c r="FE71" s="898"/>
      <c r="FF71" s="898"/>
      <c r="FG71" s="898"/>
      <c r="FH71" s="898"/>
      <c r="FI71" s="898"/>
      <c r="FJ71" s="898"/>
      <c r="FK71" s="898"/>
      <c r="FL71" s="898"/>
      <c r="FM71" s="898"/>
      <c r="FN71" s="898"/>
      <c r="FO71" s="898"/>
      <c r="FP71" s="898"/>
      <c r="FQ71" s="898"/>
      <c r="FR71" s="898"/>
      <c r="FS71" s="898"/>
      <c r="FT71" s="898"/>
      <c r="FU71" s="898"/>
      <c r="FV71" s="898"/>
      <c r="FW71" s="898"/>
      <c r="FX71" s="898"/>
      <c r="FY71" s="898"/>
      <c r="FZ71" s="898"/>
      <c r="GA71" s="898"/>
      <c r="GB71" s="898"/>
      <c r="GC71" s="898"/>
      <c r="GD71" s="898"/>
      <c r="GE71" s="898"/>
      <c r="GF71" s="898"/>
      <c r="GG71" s="898"/>
      <c r="GH71" s="898"/>
      <c r="GI71" s="898"/>
      <c r="GJ71" s="898"/>
      <c r="GK71" s="898"/>
      <c r="GL71" s="898"/>
      <c r="GM71" s="898"/>
      <c r="GN71" s="898"/>
      <c r="GO71" s="898"/>
      <c r="GP71" s="898"/>
      <c r="GQ71" s="898"/>
      <c r="GR71" s="898"/>
      <c r="GS71" s="898"/>
      <c r="GT71" s="898"/>
      <c r="GU71" s="898"/>
      <c r="GV71" s="898"/>
      <c r="GW71" s="898"/>
      <c r="GX71" s="898"/>
      <c r="GY71" s="898"/>
      <c r="GZ71" s="898"/>
      <c r="HA71" s="898"/>
      <c r="HB71" s="898"/>
      <c r="HC71" s="898"/>
      <c r="HD71" s="898"/>
      <c r="HE71" s="898"/>
      <c r="HF71" s="898"/>
      <c r="HG71" s="898"/>
      <c r="HH71" s="898"/>
      <c r="HI71" s="898"/>
      <c r="HJ71" s="898"/>
      <c r="HK71" s="898"/>
      <c r="HL71" s="898"/>
      <c r="HM71" s="898"/>
      <c r="HN71" s="898"/>
      <c r="HO71" s="898"/>
      <c r="HP71" s="898"/>
      <c r="HQ71" s="898"/>
      <c r="HR71" s="898"/>
      <c r="HS71" s="898"/>
      <c r="HT71" s="898"/>
      <c r="HU71" s="898"/>
      <c r="HV71" s="898"/>
      <c r="HW71" s="898"/>
      <c r="HX71" s="898"/>
      <c r="HY71" s="898"/>
      <c r="HZ71" s="898"/>
      <c r="IA71" s="898"/>
      <c r="IB71" s="898"/>
      <c r="IC71" s="898"/>
      <c r="ID71" s="898"/>
      <c r="IE71" s="898"/>
      <c r="IF71" s="898"/>
      <c r="IG71" s="898"/>
      <c r="IH71" s="898"/>
      <c r="II71" s="898"/>
      <c r="IJ71" s="898"/>
      <c r="IK71" s="898"/>
      <c r="IL71" s="898"/>
      <c r="IM71" s="898"/>
      <c r="IN71" s="898"/>
      <c r="IO71" s="898"/>
      <c r="IP71" s="898"/>
      <c r="IQ71" s="898"/>
      <c r="IR71" s="898"/>
      <c r="IS71" s="898"/>
      <c r="IT71" s="898"/>
      <c r="IU71" s="898"/>
      <c r="IV71" s="898"/>
    </row>
    <row r="72" spans="1:256" ht="18">
      <c r="A72" s="1450"/>
      <c r="B72" s="898"/>
      <c r="C72" s="898"/>
      <c r="D72" s="898"/>
      <c r="E72" s="898"/>
      <c r="F72" s="898"/>
      <c r="G72" s="898"/>
      <c r="H72" s="898"/>
      <c r="I72" s="898"/>
      <c r="J72" s="898"/>
      <c r="K72" s="898"/>
      <c r="L72" s="898"/>
      <c r="M72" s="898"/>
      <c r="N72" s="898"/>
      <c r="O72" s="898"/>
      <c r="P72" s="898"/>
      <c r="Q72" s="898"/>
      <c r="R72" s="898"/>
      <c r="S72" s="898"/>
      <c r="T72" s="898"/>
      <c r="U72" s="898"/>
      <c r="V72" s="898"/>
      <c r="W72" s="898"/>
      <c r="X72" s="898"/>
      <c r="Y72" s="898"/>
      <c r="Z72" s="898"/>
      <c r="AA72" s="898"/>
      <c r="AB72" s="898"/>
      <c r="AC72" s="898"/>
      <c r="AD72" s="898"/>
      <c r="AE72" s="898"/>
      <c r="AF72" s="898"/>
      <c r="AG72" s="898"/>
      <c r="AH72" s="898"/>
      <c r="AI72" s="898"/>
      <c r="AJ72" s="898"/>
      <c r="AK72" s="898"/>
      <c r="AL72" s="898"/>
      <c r="AM72" s="898"/>
      <c r="AN72" s="898"/>
      <c r="AO72" s="898"/>
      <c r="AP72" s="898"/>
      <c r="AQ72" s="898"/>
      <c r="AR72" s="898"/>
      <c r="AS72" s="898"/>
      <c r="AT72" s="898"/>
      <c r="AU72" s="898"/>
      <c r="AV72" s="898"/>
      <c r="AW72" s="898"/>
      <c r="AX72" s="898"/>
      <c r="AY72" s="898"/>
      <c r="AZ72" s="898"/>
      <c r="BA72" s="898"/>
      <c r="BB72" s="898"/>
      <c r="BC72" s="898"/>
      <c r="BD72" s="898"/>
      <c r="BE72" s="898"/>
      <c r="BF72" s="898"/>
      <c r="BG72" s="898"/>
      <c r="BH72" s="898"/>
      <c r="BI72" s="898"/>
      <c r="BJ72" s="898"/>
      <c r="BK72" s="898"/>
      <c r="BL72" s="898"/>
      <c r="BM72" s="898"/>
      <c r="BN72" s="898"/>
      <c r="BO72" s="898"/>
      <c r="BP72" s="898"/>
      <c r="BQ72" s="898"/>
      <c r="BR72" s="898"/>
      <c r="BS72" s="898"/>
      <c r="BT72" s="898"/>
      <c r="BU72" s="898"/>
      <c r="BV72" s="898"/>
      <c r="BW72" s="898"/>
      <c r="BX72" s="898"/>
      <c r="BY72" s="898"/>
      <c r="BZ72" s="898"/>
      <c r="CA72" s="898"/>
      <c r="CB72" s="898"/>
      <c r="CC72" s="898"/>
      <c r="CD72" s="898"/>
      <c r="CE72" s="898"/>
      <c r="CF72" s="898"/>
      <c r="CG72" s="898"/>
      <c r="CH72" s="898"/>
      <c r="CI72" s="898"/>
      <c r="CJ72" s="898"/>
      <c r="CK72" s="898"/>
      <c r="CL72" s="898"/>
      <c r="CM72" s="898"/>
      <c r="CN72" s="898"/>
      <c r="CO72" s="898"/>
      <c r="CP72" s="898"/>
      <c r="CQ72" s="898"/>
      <c r="CR72" s="898"/>
      <c r="CS72" s="898"/>
      <c r="CT72" s="898"/>
      <c r="CU72" s="898"/>
      <c r="CV72" s="898"/>
      <c r="CW72" s="898"/>
      <c r="CX72" s="898"/>
      <c r="CY72" s="898"/>
      <c r="CZ72" s="898"/>
      <c r="DA72" s="898"/>
      <c r="DB72" s="898"/>
      <c r="DC72" s="898"/>
      <c r="DD72" s="898"/>
      <c r="DE72" s="898"/>
      <c r="DF72" s="898"/>
      <c r="DG72" s="898"/>
      <c r="DH72" s="898"/>
      <c r="DI72" s="898"/>
      <c r="DJ72" s="898"/>
      <c r="DK72" s="898"/>
      <c r="DL72" s="898"/>
      <c r="DM72" s="898"/>
      <c r="DN72" s="898"/>
      <c r="DO72" s="898"/>
      <c r="DP72" s="898"/>
      <c r="DQ72" s="898"/>
      <c r="DR72" s="898"/>
      <c r="DS72" s="898"/>
      <c r="DT72" s="898"/>
      <c r="DU72" s="898"/>
      <c r="DV72" s="898"/>
      <c r="DW72" s="898"/>
      <c r="DX72" s="898"/>
      <c r="DY72" s="898"/>
      <c r="DZ72" s="898"/>
      <c r="EA72" s="898"/>
      <c r="EB72" s="898"/>
      <c r="EC72" s="898"/>
      <c r="ED72" s="898"/>
      <c r="EE72" s="898"/>
      <c r="EF72" s="898"/>
      <c r="EG72" s="898"/>
      <c r="EH72" s="898"/>
      <c r="EI72" s="898"/>
      <c r="EJ72" s="898"/>
      <c r="EK72" s="898"/>
      <c r="EL72" s="898"/>
      <c r="EM72" s="898"/>
      <c r="EN72" s="898"/>
      <c r="EO72" s="898"/>
      <c r="EP72" s="898"/>
      <c r="EQ72" s="898"/>
      <c r="ER72" s="898"/>
      <c r="ES72" s="898"/>
      <c r="ET72" s="898"/>
      <c r="EU72" s="898"/>
      <c r="EV72" s="898"/>
      <c r="EW72" s="898"/>
      <c r="EX72" s="898"/>
      <c r="EY72" s="898"/>
      <c r="EZ72" s="898"/>
      <c r="FA72" s="898"/>
      <c r="FB72" s="898"/>
      <c r="FC72" s="898"/>
      <c r="FD72" s="898"/>
      <c r="FE72" s="898"/>
      <c r="FF72" s="898"/>
      <c r="FG72" s="898"/>
      <c r="FH72" s="898"/>
      <c r="FI72" s="898"/>
      <c r="FJ72" s="898"/>
      <c r="FK72" s="898"/>
      <c r="FL72" s="898"/>
      <c r="FM72" s="898"/>
      <c r="FN72" s="898"/>
      <c r="FO72" s="898"/>
      <c r="FP72" s="898"/>
      <c r="FQ72" s="898"/>
      <c r="FR72" s="898"/>
      <c r="FS72" s="898"/>
      <c r="FT72" s="898"/>
      <c r="FU72" s="898"/>
      <c r="FV72" s="898"/>
      <c r="FW72" s="898"/>
      <c r="FX72" s="898"/>
      <c r="FY72" s="898"/>
      <c r="FZ72" s="898"/>
      <c r="GA72" s="898"/>
      <c r="GB72" s="898"/>
      <c r="GC72" s="898"/>
      <c r="GD72" s="898"/>
      <c r="GE72" s="898"/>
      <c r="GF72" s="898"/>
      <c r="GG72" s="898"/>
      <c r="GH72" s="898"/>
      <c r="GI72" s="898"/>
      <c r="GJ72" s="898"/>
      <c r="GK72" s="898"/>
      <c r="GL72" s="898"/>
      <c r="GM72" s="898"/>
      <c r="GN72" s="898"/>
      <c r="GO72" s="898"/>
      <c r="GP72" s="898"/>
      <c r="GQ72" s="898"/>
      <c r="GR72" s="898"/>
      <c r="GS72" s="898"/>
      <c r="GT72" s="898"/>
      <c r="GU72" s="898"/>
      <c r="GV72" s="898"/>
      <c r="GW72" s="898"/>
      <c r="GX72" s="898"/>
      <c r="GY72" s="898"/>
      <c r="GZ72" s="898"/>
      <c r="HA72" s="898"/>
      <c r="HB72" s="898"/>
      <c r="HC72" s="898"/>
      <c r="HD72" s="898"/>
      <c r="HE72" s="898"/>
      <c r="HF72" s="898"/>
      <c r="HG72" s="898"/>
      <c r="HH72" s="898"/>
      <c r="HI72" s="898"/>
      <c r="HJ72" s="898"/>
      <c r="HK72" s="898"/>
      <c r="HL72" s="898"/>
      <c r="HM72" s="898"/>
      <c r="HN72" s="898"/>
      <c r="HO72" s="898"/>
      <c r="HP72" s="898"/>
      <c r="HQ72" s="898"/>
      <c r="HR72" s="898"/>
      <c r="HS72" s="898"/>
      <c r="HT72" s="898"/>
      <c r="HU72" s="898"/>
      <c r="HV72" s="898"/>
      <c r="HW72" s="898"/>
      <c r="HX72" s="898"/>
      <c r="HY72" s="898"/>
      <c r="HZ72" s="898"/>
      <c r="IA72" s="898"/>
      <c r="IB72" s="898"/>
      <c r="IC72" s="898"/>
      <c r="ID72" s="898"/>
      <c r="IE72" s="898"/>
      <c r="IF72" s="898"/>
      <c r="IG72" s="898"/>
      <c r="IH72" s="898"/>
      <c r="II72" s="898"/>
      <c r="IJ72" s="898"/>
      <c r="IK72" s="898"/>
      <c r="IL72" s="898"/>
      <c r="IM72" s="898"/>
      <c r="IN72" s="898"/>
      <c r="IO72" s="898"/>
      <c r="IP72" s="898"/>
      <c r="IQ72" s="898"/>
      <c r="IR72" s="898"/>
      <c r="IS72" s="898"/>
      <c r="IT72" s="898"/>
      <c r="IU72" s="898"/>
      <c r="IV72" s="898"/>
    </row>
    <row r="73" spans="1:256" ht="18">
      <c r="A73" s="923"/>
      <c r="B73" s="898"/>
      <c r="C73" s="898"/>
      <c r="D73" s="898"/>
      <c r="E73" s="898"/>
      <c r="F73" s="898"/>
      <c r="G73" s="898"/>
      <c r="H73" s="898"/>
      <c r="I73" s="898"/>
      <c r="J73" s="898"/>
      <c r="K73" s="898"/>
      <c r="L73" s="898"/>
      <c r="M73" s="898"/>
      <c r="N73" s="898"/>
      <c r="O73" s="898"/>
      <c r="P73" s="898"/>
      <c r="Q73" s="898"/>
      <c r="R73" s="898"/>
      <c r="S73" s="898"/>
      <c r="T73" s="898"/>
      <c r="U73" s="898"/>
      <c r="V73" s="898"/>
      <c r="W73" s="898"/>
      <c r="X73" s="898"/>
      <c r="Y73" s="898"/>
      <c r="Z73" s="898"/>
      <c r="AA73" s="898"/>
      <c r="AB73" s="898"/>
      <c r="AC73" s="898"/>
      <c r="AD73" s="898"/>
      <c r="AE73" s="898"/>
      <c r="AF73" s="898"/>
      <c r="AG73" s="898"/>
      <c r="AH73" s="898"/>
      <c r="AI73" s="898"/>
      <c r="AJ73" s="898"/>
      <c r="AK73" s="898"/>
      <c r="AL73" s="898"/>
      <c r="AM73" s="898"/>
      <c r="AN73" s="898"/>
      <c r="AO73" s="898"/>
      <c r="AP73" s="898"/>
      <c r="AQ73" s="898"/>
      <c r="AR73" s="898"/>
      <c r="AS73" s="898"/>
      <c r="AT73" s="898"/>
      <c r="AU73" s="898"/>
      <c r="AV73" s="898"/>
      <c r="AW73" s="898"/>
      <c r="AX73" s="898"/>
      <c r="AY73" s="898"/>
      <c r="AZ73" s="898"/>
      <c r="BA73" s="898"/>
      <c r="BB73" s="898"/>
      <c r="BC73" s="898"/>
      <c r="BD73" s="898"/>
      <c r="BE73" s="898"/>
      <c r="BF73" s="898"/>
      <c r="BG73" s="898"/>
      <c r="BH73" s="898"/>
      <c r="BI73" s="898"/>
      <c r="BJ73" s="898"/>
      <c r="BK73" s="898"/>
      <c r="BL73" s="898"/>
      <c r="BM73" s="898"/>
      <c r="BN73" s="898"/>
      <c r="BO73" s="898"/>
      <c r="BP73" s="898"/>
      <c r="BQ73" s="898"/>
      <c r="BR73" s="898"/>
      <c r="BS73" s="898"/>
      <c r="BT73" s="898"/>
      <c r="BU73" s="898"/>
      <c r="BV73" s="898"/>
      <c r="BW73" s="898"/>
      <c r="BX73" s="898"/>
      <c r="BY73" s="898"/>
      <c r="BZ73" s="898"/>
      <c r="CA73" s="898"/>
      <c r="CB73" s="898"/>
      <c r="CC73" s="898"/>
      <c r="CD73" s="898"/>
      <c r="CE73" s="898"/>
      <c r="CF73" s="898"/>
      <c r="CG73" s="898"/>
      <c r="CH73" s="898"/>
      <c r="CI73" s="898"/>
      <c r="CJ73" s="898"/>
      <c r="CK73" s="898"/>
      <c r="CL73" s="898"/>
      <c r="CM73" s="898"/>
      <c r="CN73" s="898"/>
      <c r="CO73" s="898"/>
      <c r="CP73" s="898"/>
      <c r="CQ73" s="898"/>
      <c r="CR73" s="898"/>
      <c r="CS73" s="898"/>
      <c r="CT73" s="898"/>
      <c r="CU73" s="898"/>
      <c r="CV73" s="898"/>
      <c r="CW73" s="898"/>
      <c r="CX73" s="898"/>
      <c r="CY73" s="898"/>
      <c r="CZ73" s="898"/>
      <c r="DA73" s="898"/>
      <c r="DB73" s="898"/>
      <c r="DC73" s="898"/>
      <c r="DD73" s="898"/>
      <c r="DE73" s="898"/>
      <c r="DF73" s="898"/>
      <c r="DG73" s="898"/>
      <c r="DH73" s="898"/>
      <c r="DI73" s="898"/>
      <c r="DJ73" s="898"/>
      <c r="DK73" s="898"/>
      <c r="DL73" s="898"/>
      <c r="DM73" s="898"/>
      <c r="DN73" s="898"/>
      <c r="DO73" s="898"/>
      <c r="DP73" s="898"/>
      <c r="DQ73" s="898"/>
      <c r="DR73" s="898"/>
      <c r="DS73" s="898"/>
      <c r="DT73" s="898"/>
      <c r="DU73" s="898"/>
      <c r="DV73" s="898"/>
      <c r="DW73" s="898"/>
      <c r="DX73" s="898"/>
      <c r="DY73" s="898"/>
      <c r="DZ73" s="898"/>
      <c r="EA73" s="898"/>
      <c r="EB73" s="898"/>
      <c r="EC73" s="898"/>
      <c r="ED73" s="898"/>
      <c r="EE73" s="898"/>
      <c r="EF73" s="898"/>
      <c r="EG73" s="898"/>
      <c r="EH73" s="898"/>
      <c r="EI73" s="898"/>
      <c r="EJ73" s="898"/>
      <c r="EK73" s="898"/>
      <c r="EL73" s="898"/>
      <c r="EM73" s="898"/>
      <c r="EN73" s="898"/>
      <c r="EO73" s="898"/>
      <c r="EP73" s="898"/>
      <c r="EQ73" s="898"/>
      <c r="ER73" s="898"/>
      <c r="ES73" s="898"/>
      <c r="ET73" s="898"/>
      <c r="EU73" s="898"/>
      <c r="EV73" s="898"/>
      <c r="EW73" s="898"/>
      <c r="EX73" s="898"/>
      <c r="EY73" s="898"/>
      <c r="EZ73" s="898"/>
      <c r="FA73" s="898"/>
      <c r="FB73" s="898"/>
      <c r="FC73" s="898"/>
      <c r="FD73" s="898"/>
      <c r="FE73" s="898"/>
      <c r="FF73" s="898"/>
      <c r="FG73" s="898"/>
      <c r="FH73" s="898"/>
      <c r="FI73" s="898"/>
      <c r="FJ73" s="898"/>
      <c r="FK73" s="898"/>
      <c r="FL73" s="898"/>
      <c r="FM73" s="898"/>
      <c r="FN73" s="898"/>
      <c r="FO73" s="898"/>
      <c r="FP73" s="898"/>
      <c r="FQ73" s="898"/>
      <c r="FR73" s="898"/>
      <c r="FS73" s="898"/>
      <c r="FT73" s="898"/>
      <c r="FU73" s="898"/>
      <c r="FV73" s="898"/>
      <c r="FW73" s="898"/>
      <c r="FX73" s="898"/>
      <c r="FY73" s="898"/>
      <c r="FZ73" s="898"/>
      <c r="GA73" s="898"/>
      <c r="GB73" s="898"/>
      <c r="GC73" s="898"/>
      <c r="GD73" s="898"/>
      <c r="GE73" s="898"/>
      <c r="GF73" s="898"/>
      <c r="GG73" s="898"/>
      <c r="GH73" s="898"/>
      <c r="GI73" s="898"/>
      <c r="GJ73" s="898"/>
      <c r="GK73" s="898"/>
      <c r="GL73" s="898"/>
      <c r="GM73" s="898"/>
      <c r="GN73" s="898"/>
      <c r="GO73" s="898"/>
      <c r="GP73" s="898"/>
      <c r="GQ73" s="898"/>
      <c r="GR73" s="898"/>
      <c r="GS73" s="898"/>
      <c r="GT73" s="898"/>
      <c r="GU73" s="898"/>
      <c r="GV73" s="898"/>
      <c r="GW73" s="898"/>
      <c r="GX73" s="898"/>
      <c r="GY73" s="898"/>
      <c r="GZ73" s="898"/>
      <c r="HA73" s="898"/>
      <c r="HB73" s="898"/>
      <c r="HC73" s="898"/>
      <c r="HD73" s="898"/>
      <c r="HE73" s="898"/>
      <c r="HF73" s="898"/>
      <c r="HG73" s="898"/>
      <c r="HH73" s="898"/>
      <c r="HI73" s="898"/>
      <c r="HJ73" s="898"/>
      <c r="HK73" s="898"/>
      <c r="HL73" s="898"/>
      <c r="HM73" s="898"/>
      <c r="HN73" s="898"/>
      <c r="HO73" s="898"/>
      <c r="HP73" s="898"/>
      <c r="HQ73" s="898"/>
      <c r="HR73" s="898"/>
      <c r="HS73" s="898"/>
      <c r="HT73" s="898"/>
      <c r="HU73" s="898"/>
      <c r="HV73" s="898"/>
      <c r="HW73" s="898"/>
      <c r="HX73" s="898"/>
      <c r="HY73" s="898"/>
      <c r="HZ73" s="898"/>
      <c r="IA73" s="898"/>
      <c r="IB73" s="898"/>
      <c r="IC73" s="898"/>
      <c r="ID73" s="898"/>
      <c r="IE73" s="898"/>
      <c r="IF73" s="898"/>
      <c r="IG73" s="898"/>
      <c r="IH73" s="898"/>
      <c r="II73" s="898"/>
      <c r="IJ73" s="898"/>
      <c r="IK73" s="898"/>
      <c r="IL73" s="898"/>
      <c r="IM73" s="898"/>
      <c r="IN73" s="898"/>
      <c r="IO73" s="898"/>
      <c r="IP73" s="898"/>
      <c r="IQ73" s="898"/>
      <c r="IR73" s="898"/>
      <c r="IS73" s="898"/>
      <c r="IT73" s="898"/>
      <c r="IU73" s="898"/>
      <c r="IV73" s="898"/>
    </row>
    <row r="74" spans="1:256" ht="18">
      <c r="A74" s="898"/>
      <c r="B74" s="898"/>
      <c r="C74" s="898"/>
      <c r="D74" s="898"/>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898"/>
      <c r="AM74" s="898"/>
      <c r="AN74" s="898"/>
      <c r="AO74" s="898"/>
      <c r="AP74" s="898"/>
      <c r="AQ74" s="898"/>
      <c r="AR74" s="898"/>
      <c r="AS74" s="898"/>
      <c r="AT74" s="898"/>
      <c r="AU74" s="898"/>
      <c r="AV74" s="898"/>
      <c r="AW74" s="898"/>
      <c r="AX74" s="898"/>
      <c r="AY74" s="898"/>
      <c r="AZ74" s="898"/>
      <c r="BA74" s="898"/>
      <c r="BB74" s="898"/>
      <c r="BC74" s="898"/>
      <c r="BD74" s="898"/>
      <c r="BE74" s="898"/>
      <c r="BF74" s="898"/>
      <c r="BG74" s="898"/>
      <c r="BH74" s="898"/>
      <c r="BI74" s="898"/>
      <c r="BJ74" s="898"/>
      <c r="BK74" s="898"/>
      <c r="BL74" s="898"/>
      <c r="BM74" s="898"/>
      <c r="BN74" s="898"/>
      <c r="BO74" s="898"/>
      <c r="BP74" s="898"/>
      <c r="BQ74" s="898"/>
      <c r="BR74" s="898"/>
      <c r="BS74" s="898"/>
      <c r="BT74" s="898"/>
      <c r="BU74" s="898"/>
      <c r="BV74" s="898"/>
      <c r="BW74" s="898"/>
      <c r="BX74" s="898"/>
      <c r="BY74" s="898"/>
      <c r="BZ74" s="898"/>
      <c r="CA74" s="898"/>
      <c r="CB74" s="898"/>
      <c r="CC74" s="898"/>
      <c r="CD74" s="898"/>
      <c r="CE74" s="898"/>
      <c r="CF74" s="898"/>
      <c r="CG74" s="898"/>
      <c r="CH74" s="898"/>
      <c r="CI74" s="898"/>
      <c r="CJ74" s="898"/>
      <c r="CK74" s="898"/>
      <c r="CL74" s="898"/>
      <c r="CM74" s="898"/>
      <c r="CN74" s="898"/>
      <c r="CO74" s="898"/>
      <c r="CP74" s="898"/>
      <c r="CQ74" s="898"/>
      <c r="CR74" s="898"/>
      <c r="CS74" s="898"/>
      <c r="CT74" s="898"/>
      <c r="CU74" s="898"/>
      <c r="CV74" s="898"/>
      <c r="CW74" s="898"/>
      <c r="CX74" s="898"/>
      <c r="CY74" s="898"/>
      <c r="CZ74" s="898"/>
      <c r="DA74" s="898"/>
      <c r="DB74" s="898"/>
      <c r="DC74" s="898"/>
      <c r="DD74" s="898"/>
      <c r="DE74" s="898"/>
      <c r="DF74" s="898"/>
      <c r="DG74" s="898"/>
      <c r="DH74" s="898"/>
      <c r="DI74" s="898"/>
      <c r="DJ74" s="898"/>
      <c r="DK74" s="898"/>
      <c r="DL74" s="898"/>
      <c r="DM74" s="898"/>
      <c r="DN74" s="898"/>
      <c r="DO74" s="898"/>
      <c r="DP74" s="898"/>
      <c r="DQ74" s="898"/>
      <c r="DR74" s="898"/>
      <c r="DS74" s="898"/>
      <c r="DT74" s="898"/>
      <c r="DU74" s="898"/>
      <c r="DV74" s="898"/>
      <c r="DW74" s="898"/>
      <c r="DX74" s="898"/>
      <c r="DY74" s="898"/>
      <c r="DZ74" s="898"/>
      <c r="EA74" s="898"/>
      <c r="EB74" s="898"/>
      <c r="EC74" s="898"/>
      <c r="ED74" s="898"/>
      <c r="EE74" s="898"/>
      <c r="EF74" s="898"/>
      <c r="EG74" s="898"/>
      <c r="EH74" s="898"/>
      <c r="EI74" s="898"/>
      <c r="EJ74" s="898"/>
      <c r="EK74" s="898"/>
      <c r="EL74" s="898"/>
      <c r="EM74" s="898"/>
      <c r="EN74" s="898"/>
      <c r="EO74" s="898"/>
      <c r="EP74" s="898"/>
      <c r="EQ74" s="898"/>
      <c r="ER74" s="898"/>
      <c r="ES74" s="898"/>
      <c r="ET74" s="898"/>
      <c r="EU74" s="898"/>
      <c r="EV74" s="898"/>
      <c r="EW74" s="898"/>
      <c r="EX74" s="898"/>
      <c r="EY74" s="898"/>
      <c r="EZ74" s="898"/>
      <c r="FA74" s="898"/>
      <c r="FB74" s="898"/>
      <c r="FC74" s="898"/>
      <c r="FD74" s="898"/>
      <c r="FE74" s="898"/>
      <c r="FF74" s="898"/>
      <c r="FG74" s="898"/>
      <c r="FH74" s="898"/>
      <c r="FI74" s="898"/>
      <c r="FJ74" s="898"/>
      <c r="FK74" s="898"/>
      <c r="FL74" s="898"/>
      <c r="FM74" s="898"/>
      <c r="FN74" s="898"/>
      <c r="FO74" s="898"/>
      <c r="FP74" s="898"/>
      <c r="FQ74" s="898"/>
      <c r="FR74" s="898"/>
      <c r="FS74" s="898"/>
      <c r="FT74" s="898"/>
      <c r="FU74" s="898"/>
      <c r="FV74" s="898"/>
      <c r="FW74" s="898"/>
      <c r="FX74" s="898"/>
      <c r="FY74" s="898"/>
      <c r="FZ74" s="898"/>
      <c r="GA74" s="898"/>
      <c r="GB74" s="898"/>
      <c r="GC74" s="898"/>
      <c r="GD74" s="898"/>
      <c r="GE74" s="898"/>
      <c r="GF74" s="898"/>
      <c r="GG74" s="898"/>
      <c r="GH74" s="898"/>
      <c r="GI74" s="898"/>
      <c r="GJ74" s="898"/>
      <c r="GK74" s="898"/>
      <c r="GL74" s="898"/>
      <c r="GM74" s="898"/>
      <c r="GN74" s="898"/>
      <c r="GO74" s="898"/>
      <c r="GP74" s="898"/>
      <c r="GQ74" s="898"/>
      <c r="GR74" s="898"/>
      <c r="GS74" s="898"/>
      <c r="GT74" s="898"/>
      <c r="GU74" s="898"/>
      <c r="GV74" s="898"/>
      <c r="GW74" s="898"/>
      <c r="GX74" s="898"/>
      <c r="GY74" s="898"/>
      <c r="GZ74" s="898"/>
      <c r="HA74" s="898"/>
      <c r="HB74" s="898"/>
      <c r="HC74" s="898"/>
      <c r="HD74" s="898"/>
      <c r="HE74" s="898"/>
      <c r="HF74" s="898"/>
      <c r="HG74" s="898"/>
      <c r="HH74" s="898"/>
      <c r="HI74" s="898"/>
      <c r="HJ74" s="898"/>
      <c r="HK74" s="898"/>
      <c r="HL74" s="898"/>
      <c r="HM74" s="898"/>
      <c r="HN74" s="898"/>
      <c r="HO74" s="898"/>
      <c r="HP74" s="898"/>
      <c r="HQ74" s="898"/>
      <c r="HR74" s="898"/>
      <c r="HS74" s="898"/>
      <c r="HT74" s="898"/>
      <c r="HU74" s="898"/>
      <c r="HV74" s="898"/>
      <c r="HW74" s="898"/>
      <c r="HX74" s="898"/>
      <c r="HY74" s="898"/>
      <c r="HZ74" s="898"/>
      <c r="IA74" s="898"/>
      <c r="IB74" s="898"/>
      <c r="IC74" s="898"/>
      <c r="ID74" s="898"/>
      <c r="IE74" s="898"/>
      <c r="IF74" s="898"/>
      <c r="IG74" s="898"/>
      <c r="IH74" s="898"/>
      <c r="II74" s="898"/>
      <c r="IJ74" s="898"/>
      <c r="IK74" s="898"/>
      <c r="IL74" s="898"/>
      <c r="IM74" s="898"/>
      <c r="IN74" s="898"/>
      <c r="IO74" s="898"/>
      <c r="IP74" s="898"/>
      <c r="IQ74" s="898"/>
      <c r="IR74" s="898"/>
      <c r="IS74" s="898"/>
      <c r="IT74" s="898"/>
      <c r="IU74" s="898"/>
      <c r="IV74" s="898"/>
    </row>
    <row r="75" spans="1:256" ht="18">
      <c r="A75" s="898"/>
      <c r="B75" s="898"/>
      <c r="C75" s="898"/>
      <c r="D75" s="898"/>
      <c r="E75" s="898"/>
      <c r="F75" s="898"/>
      <c r="G75" s="898"/>
      <c r="H75" s="898"/>
      <c r="I75" s="898"/>
      <c r="J75" s="898"/>
      <c r="K75" s="898"/>
      <c r="L75" s="898"/>
      <c r="M75" s="898"/>
      <c r="N75" s="898"/>
      <c r="O75" s="898"/>
      <c r="P75" s="898"/>
      <c r="Q75" s="898"/>
      <c r="R75" s="898"/>
      <c r="S75" s="898"/>
      <c r="T75" s="898"/>
      <c r="U75" s="898"/>
      <c r="V75" s="898"/>
      <c r="W75" s="898"/>
      <c r="X75" s="898"/>
      <c r="Y75" s="898"/>
      <c r="Z75" s="898"/>
      <c r="AA75" s="898"/>
      <c r="AB75" s="898"/>
      <c r="AC75" s="898"/>
      <c r="AD75" s="898"/>
      <c r="AE75" s="898"/>
      <c r="AF75" s="898"/>
      <c r="AG75" s="898"/>
      <c r="AH75" s="898"/>
      <c r="AI75" s="898"/>
      <c r="AJ75" s="898"/>
      <c r="AK75" s="898"/>
      <c r="AL75" s="898"/>
      <c r="AM75" s="898"/>
      <c r="AN75" s="898"/>
      <c r="AO75" s="898"/>
      <c r="AP75" s="898"/>
      <c r="AQ75" s="898"/>
      <c r="AR75" s="898"/>
      <c r="AS75" s="898"/>
      <c r="AT75" s="898"/>
      <c r="AU75" s="898"/>
      <c r="AV75" s="898"/>
      <c r="AW75" s="898"/>
      <c r="AX75" s="898"/>
      <c r="AY75" s="898"/>
      <c r="AZ75" s="898"/>
      <c r="BA75" s="898"/>
      <c r="BB75" s="898"/>
      <c r="BC75" s="898"/>
      <c r="BD75" s="898"/>
      <c r="BE75" s="898"/>
      <c r="BF75" s="898"/>
      <c r="BG75" s="898"/>
      <c r="BH75" s="898"/>
      <c r="BI75" s="898"/>
      <c r="BJ75" s="898"/>
      <c r="BK75" s="898"/>
      <c r="BL75" s="898"/>
      <c r="BM75" s="898"/>
      <c r="BN75" s="898"/>
      <c r="BO75" s="898"/>
      <c r="BP75" s="898"/>
      <c r="BQ75" s="898"/>
      <c r="BR75" s="898"/>
      <c r="BS75" s="898"/>
      <c r="BT75" s="898"/>
      <c r="BU75" s="898"/>
      <c r="BV75" s="898"/>
      <c r="BW75" s="898"/>
      <c r="BX75" s="898"/>
      <c r="BY75" s="898"/>
      <c r="BZ75" s="898"/>
      <c r="CA75" s="898"/>
      <c r="CB75" s="898"/>
      <c r="CC75" s="898"/>
      <c r="CD75" s="898"/>
      <c r="CE75" s="898"/>
      <c r="CF75" s="898"/>
      <c r="CG75" s="898"/>
      <c r="CH75" s="898"/>
      <c r="CI75" s="898"/>
      <c r="CJ75" s="898"/>
      <c r="CK75" s="898"/>
      <c r="CL75" s="898"/>
      <c r="CM75" s="898"/>
      <c r="CN75" s="898"/>
      <c r="CO75" s="898"/>
      <c r="CP75" s="898"/>
      <c r="CQ75" s="898"/>
      <c r="CR75" s="898"/>
      <c r="CS75" s="898"/>
      <c r="CT75" s="898"/>
      <c r="CU75" s="898"/>
      <c r="CV75" s="898"/>
      <c r="CW75" s="898"/>
      <c r="CX75" s="898"/>
      <c r="CY75" s="898"/>
      <c r="CZ75" s="898"/>
      <c r="DA75" s="898"/>
      <c r="DB75" s="898"/>
      <c r="DC75" s="898"/>
      <c r="DD75" s="898"/>
      <c r="DE75" s="898"/>
      <c r="DF75" s="898"/>
      <c r="DG75" s="898"/>
      <c r="DH75" s="898"/>
      <c r="DI75" s="898"/>
      <c r="DJ75" s="898"/>
      <c r="DK75" s="898"/>
      <c r="DL75" s="898"/>
      <c r="DM75" s="898"/>
      <c r="DN75" s="898"/>
      <c r="DO75" s="898"/>
      <c r="DP75" s="898"/>
      <c r="DQ75" s="898"/>
      <c r="DR75" s="898"/>
      <c r="DS75" s="898"/>
      <c r="DT75" s="898"/>
      <c r="DU75" s="898"/>
      <c r="DV75" s="898"/>
      <c r="DW75" s="898"/>
      <c r="DX75" s="898"/>
      <c r="DY75" s="898"/>
      <c r="DZ75" s="898"/>
      <c r="EA75" s="898"/>
      <c r="EB75" s="898"/>
      <c r="EC75" s="898"/>
      <c r="ED75" s="898"/>
      <c r="EE75" s="898"/>
      <c r="EF75" s="898"/>
      <c r="EG75" s="898"/>
      <c r="EH75" s="898"/>
      <c r="EI75" s="898"/>
      <c r="EJ75" s="898"/>
      <c r="EK75" s="898"/>
      <c r="EL75" s="898"/>
      <c r="EM75" s="898"/>
      <c r="EN75" s="898"/>
      <c r="EO75" s="898"/>
      <c r="EP75" s="898"/>
      <c r="EQ75" s="898"/>
      <c r="ER75" s="898"/>
      <c r="ES75" s="898"/>
      <c r="ET75" s="898"/>
      <c r="EU75" s="898"/>
      <c r="EV75" s="898"/>
      <c r="EW75" s="898"/>
      <c r="EX75" s="898"/>
      <c r="EY75" s="898"/>
      <c r="EZ75" s="898"/>
      <c r="FA75" s="898"/>
      <c r="FB75" s="898"/>
      <c r="FC75" s="898"/>
      <c r="FD75" s="898"/>
      <c r="FE75" s="898"/>
      <c r="FF75" s="898"/>
      <c r="FG75" s="898"/>
      <c r="FH75" s="898"/>
      <c r="FI75" s="898"/>
      <c r="FJ75" s="898"/>
      <c r="FK75" s="898"/>
      <c r="FL75" s="898"/>
      <c r="FM75" s="898"/>
      <c r="FN75" s="898"/>
      <c r="FO75" s="898"/>
      <c r="FP75" s="898"/>
      <c r="FQ75" s="898"/>
      <c r="FR75" s="898"/>
      <c r="FS75" s="898"/>
      <c r="FT75" s="898"/>
      <c r="FU75" s="898"/>
      <c r="FV75" s="898"/>
      <c r="FW75" s="898"/>
      <c r="FX75" s="898"/>
      <c r="FY75" s="898"/>
      <c r="FZ75" s="898"/>
      <c r="GA75" s="898"/>
      <c r="GB75" s="898"/>
      <c r="GC75" s="898"/>
      <c r="GD75" s="898"/>
      <c r="GE75" s="898"/>
      <c r="GF75" s="898"/>
      <c r="GG75" s="898"/>
      <c r="GH75" s="898"/>
      <c r="GI75" s="898"/>
      <c r="GJ75" s="898"/>
      <c r="GK75" s="898"/>
      <c r="GL75" s="898"/>
      <c r="GM75" s="898"/>
      <c r="GN75" s="898"/>
      <c r="GO75" s="898"/>
      <c r="GP75" s="898"/>
      <c r="GQ75" s="898"/>
      <c r="GR75" s="898"/>
      <c r="GS75" s="898"/>
      <c r="GT75" s="898"/>
      <c r="GU75" s="898"/>
      <c r="GV75" s="898"/>
      <c r="GW75" s="898"/>
      <c r="GX75" s="898"/>
      <c r="GY75" s="898"/>
      <c r="GZ75" s="898"/>
      <c r="HA75" s="898"/>
      <c r="HB75" s="898"/>
      <c r="HC75" s="898"/>
      <c r="HD75" s="898"/>
      <c r="HE75" s="898"/>
      <c r="HF75" s="898"/>
      <c r="HG75" s="898"/>
      <c r="HH75" s="898"/>
      <c r="HI75" s="898"/>
      <c r="HJ75" s="898"/>
      <c r="HK75" s="898"/>
      <c r="HL75" s="898"/>
      <c r="HM75" s="898"/>
      <c r="HN75" s="898"/>
      <c r="HO75" s="898"/>
      <c r="HP75" s="898"/>
      <c r="HQ75" s="898"/>
      <c r="HR75" s="898"/>
      <c r="HS75" s="898"/>
      <c r="HT75" s="898"/>
      <c r="HU75" s="898"/>
      <c r="HV75" s="898"/>
      <c r="HW75" s="898"/>
      <c r="HX75" s="898"/>
      <c r="HY75" s="898"/>
      <c r="HZ75" s="898"/>
      <c r="IA75" s="898"/>
      <c r="IB75" s="898"/>
      <c r="IC75" s="898"/>
      <c r="ID75" s="898"/>
      <c r="IE75" s="898"/>
      <c r="IF75" s="898"/>
      <c r="IG75" s="898"/>
      <c r="IH75" s="898"/>
      <c r="II75" s="898"/>
      <c r="IJ75" s="898"/>
      <c r="IK75" s="898"/>
      <c r="IL75" s="898"/>
      <c r="IM75" s="898"/>
      <c r="IN75" s="898"/>
      <c r="IO75" s="898"/>
      <c r="IP75" s="898"/>
      <c r="IQ75" s="898"/>
      <c r="IR75" s="898"/>
      <c r="IS75" s="898"/>
      <c r="IT75" s="898"/>
      <c r="IU75" s="898"/>
      <c r="IV75" s="898"/>
    </row>
    <row r="76" spans="1:256" ht="18">
      <c r="A76" s="898"/>
      <c r="B76" s="898"/>
      <c r="C76" s="898"/>
      <c r="D76" s="898"/>
      <c r="E76" s="898"/>
      <c r="F76" s="898"/>
      <c r="G76" s="898"/>
      <c r="H76" s="898"/>
      <c r="I76" s="898"/>
      <c r="J76" s="898"/>
      <c r="K76" s="898"/>
      <c r="L76" s="898"/>
      <c r="M76" s="898"/>
      <c r="N76" s="898"/>
      <c r="O76" s="898"/>
      <c r="P76" s="898"/>
      <c r="Q76" s="898"/>
      <c r="R76" s="898"/>
      <c r="S76" s="898"/>
      <c r="T76" s="898"/>
      <c r="U76" s="898"/>
      <c r="V76" s="898"/>
      <c r="W76" s="898"/>
      <c r="X76" s="898"/>
      <c r="Y76" s="898"/>
      <c r="Z76" s="898"/>
      <c r="AA76" s="898"/>
      <c r="AB76" s="898"/>
      <c r="AC76" s="898"/>
      <c r="AD76" s="898"/>
      <c r="AE76" s="898"/>
      <c r="AF76" s="898"/>
      <c r="AG76" s="898"/>
      <c r="AH76" s="898"/>
      <c r="AI76" s="898"/>
      <c r="AJ76" s="898"/>
      <c r="AK76" s="898"/>
      <c r="AL76" s="898"/>
      <c r="AM76" s="898"/>
      <c r="AN76" s="898"/>
      <c r="AO76" s="898"/>
      <c r="AP76" s="898"/>
      <c r="AQ76" s="898"/>
      <c r="AR76" s="898"/>
      <c r="AS76" s="898"/>
      <c r="AT76" s="898"/>
      <c r="AU76" s="898"/>
      <c r="AV76" s="898"/>
      <c r="AW76" s="898"/>
      <c r="AX76" s="898"/>
      <c r="AY76" s="898"/>
      <c r="AZ76" s="898"/>
      <c r="BA76" s="898"/>
      <c r="BB76" s="898"/>
      <c r="BC76" s="898"/>
      <c r="BD76" s="898"/>
      <c r="BE76" s="898"/>
      <c r="BF76" s="898"/>
      <c r="BG76" s="898"/>
      <c r="BH76" s="898"/>
      <c r="BI76" s="898"/>
      <c r="BJ76" s="898"/>
      <c r="BK76" s="898"/>
      <c r="BL76" s="898"/>
      <c r="BM76" s="898"/>
      <c r="BN76" s="898"/>
      <c r="BO76" s="898"/>
      <c r="BP76" s="898"/>
      <c r="BQ76" s="898"/>
      <c r="BR76" s="898"/>
      <c r="BS76" s="898"/>
      <c r="BT76" s="898"/>
      <c r="BU76" s="898"/>
      <c r="BV76" s="898"/>
      <c r="BW76" s="898"/>
      <c r="BX76" s="898"/>
      <c r="BY76" s="898"/>
      <c r="BZ76" s="898"/>
      <c r="CA76" s="898"/>
      <c r="CB76" s="898"/>
      <c r="CC76" s="898"/>
      <c r="CD76" s="898"/>
      <c r="CE76" s="898"/>
      <c r="CF76" s="898"/>
      <c r="CG76" s="898"/>
      <c r="CH76" s="898"/>
      <c r="CI76" s="898"/>
      <c r="CJ76" s="898"/>
      <c r="CK76" s="898"/>
      <c r="CL76" s="898"/>
      <c r="CM76" s="898"/>
      <c r="CN76" s="898"/>
      <c r="CO76" s="898"/>
      <c r="CP76" s="898"/>
      <c r="CQ76" s="898"/>
      <c r="CR76" s="898"/>
      <c r="CS76" s="898"/>
      <c r="CT76" s="898"/>
      <c r="CU76" s="898"/>
      <c r="CV76" s="898"/>
      <c r="CW76" s="898"/>
      <c r="CX76" s="898"/>
      <c r="CY76" s="898"/>
      <c r="CZ76" s="898"/>
      <c r="DA76" s="898"/>
      <c r="DB76" s="898"/>
      <c r="DC76" s="898"/>
      <c r="DD76" s="898"/>
      <c r="DE76" s="898"/>
      <c r="DF76" s="898"/>
      <c r="DG76" s="898"/>
      <c r="DH76" s="898"/>
      <c r="DI76" s="898"/>
      <c r="DJ76" s="898"/>
      <c r="DK76" s="898"/>
      <c r="DL76" s="898"/>
      <c r="DM76" s="898"/>
      <c r="DN76" s="898"/>
      <c r="DO76" s="898"/>
      <c r="DP76" s="898"/>
      <c r="DQ76" s="898"/>
      <c r="DR76" s="898"/>
      <c r="DS76" s="898"/>
      <c r="DT76" s="898"/>
      <c r="DU76" s="898"/>
      <c r="DV76" s="898"/>
      <c r="DW76" s="898"/>
      <c r="DX76" s="898"/>
      <c r="DY76" s="898"/>
      <c r="DZ76" s="898"/>
      <c r="EA76" s="898"/>
      <c r="EB76" s="898"/>
      <c r="EC76" s="898"/>
      <c r="ED76" s="898"/>
      <c r="EE76" s="898"/>
      <c r="EF76" s="898"/>
      <c r="EG76" s="898"/>
      <c r="EH76" s="898"/>
      <c r="EI76" s="898"/>
      <c r="EJ76" s="898"/>
      <c r="EK76" s="898"/>
      <c r="EL76" s="898"/>
      <c r="EM76" s="898"/>
      <c r="EN76" s="898"/>
      <c r="EO76" s="898"/>
      <c r="EP76" s="898"/>
      <c r="EQ76" s="898"/>
      <c r="ER76" s="898"/>
      <c r="ES76" s="898"/>
      <c r="ET76" s="898"/>
      <c r="EU76" s="898"/>
      <c r="EV76" s="898"/>
      <c r="EW76" s="898"/>
      <c r="EX76" s="898"/>
      <c r="EY76" s="898"/>
      <c r="EZ76" s="898"/>
      <c r="FA76" s="898"/>
      <c r="FB76" s="898"/>
      <c r="FC76" s="898"/>
      <c r="FD76" s="898"/>
      <c r="FE76" s="898"/>
      <c r="FF76" s="898"/>
      <c r="FG76" s="898"/>
      <c r="FH76" s="898"/>
      <c r="FI76" s="898"/>
      <c r="FJ76" s="898"/>
      <c r="FK76" s="898"/>
      <c r="FL76" s="898"/>
      <c r="FM76" s="898"/>
      <c r="FN76" s="898"/>
      <c r="FO76" s="898"/>
      <c r="FP76" s="898"/>
      <c r="FQ76" s="898"/>
      <c r="FR76" s="898"/>
      <c r="FS76" s="898"/>
      <c r="FT76" s="898"/>
      <c r="FU76" s="898"/>
      <c r="FV76" s="898"/>
      <c r="FW76" s="898"/>
      <c r="FX76" s="898"/>
      <c r="FY76" s="898"/>
      <c r="FZ76" s="898"/>
      <c r="GA76" s="898"/>
      <c r="GB76" s="898"/>
      <c r="GC76" s="898"/>
      <c r="GD76" s="898"/>
      <c r="GE76" s="898"/>
      <c r="GF76" s="898"/>
      <c r="GG76" s="898"/>
      <c r="GH76" s="898"/>
      <c r="GI76" s="898"/>
      <c r="GJ76" s="898"/>
      <c r="GK76" s="898"/>
      <c r="GL76" s="898"/>
      <c r="GM76" s="898"/>
      <c r="GN76" s="898"/>
      <c r="GO76" s="898"/>
      <c r="GP76" s="898"/>
      <c r="GQ76" s="898"/>
      <c r="GR76" s="898"/>
      <c r="GS76" s="898"/>
      <c r="GT76" s="898"/>
      <c r="GU76" s="898"/>
      <c r="GV76" s="898"/>
      <c r="GW76" s="898"/>
      <c r="GX76" s="898"/>
      <c r="GY76" s="898"/>
      <c r="GZ76" s="898"/>
      <c r="HA76" s="898"/>
      <c r="HB76" s="898"/>
      <c r="HC76" s="898"/>
      <c r="HD76" s="898"/>
      <c r="HE76" s="898"/>
      <c r="HF76" s="898"/>
      <c r="HG76" s="898"/>
      <c r="HH76" s="898"/>
      <c r="HI76" s="898"/>
      <c r="HJ76" s="898"/>
      <c r="HK76" s="898"/>
      <c r="HL76" s="898"/>
      <c r="HM76" s="898"/>
      <c r="HN76" s="898"/>
      <c r="HO76" s="898"/>
      <c r="HP76" s="898"/>
      <c r="HQ76" s="898"/>
      <c r="HR76" s="898"/>
      <c r="HS76" s="898"/>
      <c r="HT76" s="898"/>
      <c r="HU76" s="898"/>
      <c r="HV76" s="898"/>
      <c r="HW76" s="898"/>
      <c r="HX76" s="898"/>
      <c r="HY76" s="898"/>
      <c r="HZ76" s="898"/>
      <c r="IA76" s="898"/>
      <c r="IB76" s="898"/>
      <c r="IC76" s="898"/>
      <c r="ID76" s="898"/>
      <c r="IE76" s="898"/>
      <c r="IF76" s="898"/>
      <c r="IG76" s="898"/>
      <c r="IH76" s="898"/>
      <c r="II76" s="898"/>
      <c r="IJ76" s="898"/>
      <c r="IK76" s="898"/>
      <c r="IL76" s="898"/>
      <c r="IM76" s="898"/>
      <c r="IN76" s="898"/>
      <c r="IO76" s="898"/>
      <c r="IP76" s="898"/>
      <c r="IQ76" s="898"/>
      <c r="IR76" s="898"/>
      <c r="IS76" s="898"/>
      <c r="IT76" s="898"/>
      <c r="IU76" s="898"/>
      <c r="IV76" s="898"/>
    </row>
    <row r="77" spans="1:256" ht="18">
      <c r="A77" s="898"/>
      <c r="B77" s="898"/>
      <c r="C77" s="898"/>
      <c r="D77" s="898"/>
      <c r="E77" s="898"/>
      <c r="F77" s="898"/>
      <c r="G77" s="898"/>
      <c r="H77" s="898"/>
      <c r="I77" s="898"/>
      <c r="J77" s="898"/>
      <c r="K77" s="898"/>
      <c r="L77" s="898"/>
      <c r="M77" s="898"/>
      <c r="N77" s="898"/>
      <c r="O77" s="898"/>
      <c r="P77" s="898"/>
      <c r="Q77" s="898"/>
      <c r="R77" s="898"/>
      <c r="S77" s="898"/>
      <c r="T77" s="898"/>
      <c r="U77" s="898"/>
      <c r="V77" s="898"/>
      <c r="W77" s="898"/>
      <c r="X77" s="898"/>
      <c r="Y77" s="898"/>
      <c r="Z77" s="898"/>
      <c r="AA77" s="898"/>
      <c r="AB77" s="898"/>
      <c r="AC77" s="898"/>
      <c r="AD77" s="898"/>
      <c r="AE77" s="898"/>
      <c r="AF77" s="898"/>
      <c r="AG77" s="898"/>
      <c r="AH77" s="898"/>
      <c r="AI77" s="898"/>
      <c r="AJ77" s="898"/>
      <c r="AK77" s="898"/>
      <c r="AL77" s="898"/>
      <c r="AM77" s="898"/>
      <c r="AN77" s="898"/>
      <c r="AO77" s="898"/>
      <c r="AP77" s="898"/>
      <c r="AQ77" s="898"/>
      <c r="AR77" s="898"/>
      <c r="AS77" s="898"/>
      <c r="AT77" s="898"/>
      <c r="AU77" s="898"/>
      <c r="AV77" s="898"/>
      <c r="AW77" s="898"/>
      <c r="AX77" s="898"/>
      <c r="AY77" s="898"/>
      <c r="AZ77" s="898"/>
      <c r="BA77" s="898"/>
      <c r="BB77" s="898"/>
      <c r="BC77" s="898"/>
      <c r="BD77" s="898"/>
      <c r="BE77" s="898"/>
      <c r="BF77" s="898"/>
      <c r="BG77" s="898"/>
      <c r="BH77" s="898"/>
      <c r="BI77" s="898"/>
      <c r="BJ77" s="898"/>
      <c r="BK77" s="898"/>
      <c r="BL77" s="898"/>
      <c r="BM77" s="898"/>
      <c r="BN77" s="898"/>
      <c r="BO77" s="898"/>
      <c r="BP77" s="898"/>
      <c r="BQ77" s="898"/>
      <c r="BR77" s="898"/>
      <c r="BS77" s="898"/>
      <c r="BT77" s="898"/>
      <c r="BU77" s="898"/>
      <c r="BV77" s="898"/>
      <c r="BW77" s="898"/>
      <c r="BX77" s="898"/>
      <c r="BY77" s="898"/>
      <c r="BZ77" s="898"/>
      <c r="CA77" s="898"/>
      <c r="CB77" s="898"/>
      <c r="CC77" s="898"/>
      <c r="CD77" s="898"/>
      <c r="CE77" s="898"/>
      <c r="CF77" s="898"/>
      <c r="CG77" s="898"/>
      <c r="CH77" s="898"/>
      <c r="CI77" s="898"/>
      <c r="CJ77" s="898"/>
      <c r="CK77" s="898"/>
      <c r="CL77" s="898"/>
      <c r="CM77" s="898"/>
      <c r="CN77" s="898"/>
      <c r="CO77" s="898"/>
      <c r="CP77" s="898"/>
      <c r="CQ77" s="898"/>
      <c r="CR77" s="898"/>
      <c r="CS77" s="898"/>
      <c r="CT77" s="898"/>
      <c r="CU77" s="898"/>
      <c r="CV77" s="898"/>
      <c r="CW77" s="898"/>
      <c r="CX77" s="898"/>
      <c r="CY77" s="898"/>
      <c r="CZ77" s="898"/>
      <c r="DA77" s="898"/>
      <c r="DB77" s="898"/>
      <c r="DC77" s="898"/>
      <c r="DD77" s="898"/>
      <c r="DE77" s="898"/>
      <c r="DF77" s="898"/>
      <c r="DG77" s="898"/>
      <c r="DH77" s="898"/>
      <c r="DI77" s="898"/>
      <c r="DJ77" s="898"/>
      <c r="DK77" s="898"/>
      <c r="DL77" s="898"/>
      <c r="DM77" s="898"/>
      <c r="DN77" s="898"/>
      <c r="DO77" s="898"/>
      <c r="DP77" s="898"/>
      <c r="DQ77" s="898"/>
      <c r="DR77" s="898"/>
      <c r="DS77" s="898"/>
      <c r="DT77" s="898"/>
      <c r="DU77" s="898"/>
      <c r="DV77" s="898"/>
      <c r="DW77" s="898"/>
      <c r="DX77" s="898"/>
      <c r="DY77" s="898"/>
      <c r="DZ77" s="898"/>
      <c r="EA77" s="898"/>
      <c r="EB77" s="898"/>
      <c r="EC77" s="898"/>
      <c r="ED77" s="898"/>
      <c r="EE77" s="898"/>
      <c r="EF77" s="898"/>
      <c r="EG77" s="898"/>
      <c r="EH77" s="898"/>
      <c r="EI77" s="898"/>
      <c r="EJ77" s="898"/>
      <c r="EK77" s="898"/>
      <c r="EL77" s="898"/>
      <c r="EM77" s="898"/>
      <c r="EN77" s="898"/>
      <c r="EO77" s="898"/>
      <c r="EP77" s="898"/>
      <c r="EQ77" s="898"/>
      <c r="ER77" s="898"/>
      <c r="ES77" s="898"/>
      <c r="ET77" s="898"/>
      <c r="EU77" s="898"/>
      <c r="EV77" s="898"/>
      <c r="EW77" s="898"/>
      <c r="EX77" s="898"/>
      <c r="EY77" s="898"/>
      <c r="EZ77" s="898"/>
      <c r="FA77" s="898"/>
      <c r="FB77" s="898"/>
      <c r="FC77" s="898"/>
      <c r="FD77" s="898"/>
      <c r="FE77" s="898"/>
      <c r="FF77" s="898"/>
      <c r="FG77" s="898"/>
      <c r="FH77" s="898"/>
      <c r="FI77" s="898"/>
      <c r="FJ77" s="898"/>
      <c r="FK77" s="898"/>
      <c r="FL77" s="898"/>
      <c r="FM77" s="898"/>
      <c r="FN77" s="898"/>
      <c r="FO77" s="898"/>
      <c r="FP77" s="898"/>
      <c r="FQ77" s="898"/>
      <c r="FR77" s="898"/>
      <c r="FS77" s="898"/>
      <c r="FT77" s="898"/>
      <c r="FU77" s="898"/>
      <c r="FV77" s="898"/>
      <c r="FW77" s="898"/>
      <c r="FX77" s="898"/>
      <c r="FY77" s="898"/>
      <c r="FZ77" s="898"/>
      <c r="GA77" s="898"/>
      <c r="GB77" s="898"/>
      <c r="GC77" s="898"/>
      <c r="GD77" s="898"/>
      <c r="GE77" s="898"/>
      <c r="GF77" s="898"/>
      <c r="GG77" s="898"/>
      <c r="GH77" s="898"/>
      <c r="GI77" s="898"/>
      <c r="GJ77" s="898"/>
      <c r="GK77" s="898"/>
      <c r="GL77" s="898"/>
      <c r="GM77" s="898"/>
      <c r="GN77" s="898"/>
      <c r="GO77" s="898"/>
      <c r="GP77" s="898"/>
      <c r="GQ77" s="898"/>
      <c r="GR77" s="898"/>
      <c r="GS77" s="898"/>
      <c r="GT77" s="898"/>
      <c r="GU77" s="898"/>
      <c r="GV77" s="898"/>
      <c r="GW77" s="898"/>
      <c r="GX77" s="898"/>
      <c r="GY77" s="898"/>
      <c r="GZ77" s="898"/>
      <c r="HA77" s="898"/>
      <c r="HB77" s="898"/>
      <c r="HC77" s="898"/>
      <c r="HD77" s="898"/>
      <c r="HE77" s="898"/>
      <c r="HF77" s="898"/>
      <c r="HG77" s="898"/>
      <c r="HH77" s="898"/>
      <c r="HI77" s="898"/>
      <c r="HJ77" s="898"/>
      <c r="HK77" s="898"/>
      <c r="HL77" s="898"/>
      <c r="HM77" s="898"/>
      <c r="HN77" s="898"/>
      <c r="HO77" s="898"/>
      <c r="HP77" s="898"/>
      <c r="HQ77" s="898"/>
      <c r="HR77" s="898"/>
      <c r="HS77" s="898"/>
      <c r="HT77" s="898"/>
      <c r="HU77" s="898"/>
      <c r="HV77" s="898"/>
      <c r="HW77" s="898"/>
      <c r="HX77" s="898"/>
      <c r="HY77" s="898"/>
      <c r="HZ77" s="898"/>
      <c r="IA77" s="898"/>
      <c r="IB77" s="898"/>
      <c r="IC77" s="898"/>
      <c r="ID77" s="898"/>
      <c r="IE77" s="898"/>
      <c r="IF77" s="898"/>
      <c r="IG77" s="898"/>
      <c r="IH77" s="898"/>
      <c r="II77" s="898"/>
      <c r="IJ77" s="898"/>
      <c r="IK77" s="898"/>
      <c r="IL77" s="898"/>
      <c r="IM77" s="898"/>
      <c r="IN77" s="898"/>
      <c r="IO77" s="898"/>
      <c r="IP77" s="898"/>
      <c r="IQ77" s="898"/>
      <c r="IR77" s="898"/>
      <c r="IS77" s="898"/>
      <c r="IT77" s="898"/>
      <c r="IU77" s="898"/>
      <c r="IV77" s="898"/>
    </row>
    <row r="78" spans="1:256" ht="18">
      <c r="A78" s="898"/>
      <c r="B78" s="898"/>
      <c r="C78" s="898"/>
      <c r="D78" s="898"/>
      <c r="E78" s="898"/>
      <c r="F78" s="898"/>
      <c r="G78" s="898"/>
      <c r="H78" s="898"/>
      <c r="I78" s="898"/>
      <c r="J78" s="898"/>
      <c r="K78" s="898"/>
      <c r="L78" s="898"/>
      <c r="M78" s="898"/>
      <c r="N78" s="898"/>
      <c r="O78" s="898"/>
      <c r="P78" s="898"/>
      <c r="Q78" s="898"/>
      <c r="R78" s="898"/>
      <c r="S78" s="898"/>
      <c r="T78" s="898"/>
      <c r="U78" s="898"/>
      <c r="V78" s="898"/>
      <c r="W78" s="898"/>
      <c r="X78" s="898"/>
      <c r="Y78" s="898"/>
      <c r="Z78" s="898"/>
      <c r="AA78" s="898"/>
      <c r="AB78" s="898"/>
      <c r="AC78" s="898"/>
      <c r="AD78" s="898"/>
      <c r="AE78" s="898"/>
      <c r="AF78" s="898"/>
      <c r="AG78" s="898"/>
      <c r="AH78" s="898"/>
      <c r="AI78" s="898"/>
      <c r="AJ78" s="898"/>
      <c r="AK78" s="898"/>
      <c r="AL78" s="898"/>
      <c r="AM78" s="898"/>
      <c r="AN78" s="898"/>
      <c r="AO78" s="898"/>
      <c r="AP78" s="898"/>
      <c r="AQ78" s="898"/>
      <c r="AR78" s="898"/>
      <c r="AS78" s="898"/>
      <c r="AT78" s="898"/>
      <c r="AU78" s="898"/>
      <c r="AV78" s="898"/>
      <c r="AW78" s="898"/>
      <c r="AX78" s="898"/>
      <c r="AY78" s="898"/>
      <c r="AZ78" s="898"/>
      <c r="BA78" s="898"/>
      <c r="BB78" s="898"/>
      <c r="BC78" s="898"/>
      <c r="BD78" s="898"/>
      <c r="BE78" s="898"/>
      <c r="BF78" s="898"/>
      <c r="BG78" s="898"/>
      <c r="BH78" s="898"/>
      <c r="BI78" s="898"/>
      <c r="BJ78" s="898"/>
      <c r="BK78" s="898"/>
      <c r="BL78" s="898"/>
      <c r="BM78" s="898"/>
      <c r="BN78" s="898"/>
      <c r="BO78" s="898"/>
      <c r="BP78" s="898"/>
      <c r="BQ78" s="898"/>
      <c r="BR78" s="898"/>
      <c r="BS78" s="898"/>
      <c r="BT78" s="898"/>
      <c r="BU78" s="898"/>
      <c r="BV78" s="898"/>
      <c r="BW78" s="898"/>
      <c r="BX78" s="898"/>
      <c r="BY78" s="898"/>
      <c r="BZ78" s="898"/>
      <c r="CA78" s="898"/>
      <c r="CB78" s="898"/>
      <c r="CC78" s="898"/>
      <c r="CD78" s="898"/>
      <c r="CE78" s="898"/>
      <c r="CF78" s="898"/>
      <c r="CG78" s="898"/>
      <c r="CH78" s="898"/>
      <c r="CI78" s="898"/>
      <c r="CJ78" s="898"/>
      <c r="CK78" s="898"/>
      <c r="CL78" s="898"/>
      <c r="CM78" s="898"/>
      <c r="CN78" s="898"/>
      <c r="CO78" s="898"/>
      <c r="CP78" s="898"/>
      <c r="CQ78" s="898"/>
      <c r="CR78" s="898"/>
      <c r="CS78" s="898"/>
      <c r="CT78" s="898"/>
      <c r="CU78" s="898"/>
      <c r="CV78" s="898"/>
      <c r="CW78" s="898"/>
      <c r="CX78" s="898"/>
      <c r="CY78" s="898"/>
      <c r="CZ78" s="898"/>
      <c r="DA78" s="898"/>
      <c r="DB78" s="898"/>
      <c r="DC78" s="898"/>
      <c r="DD78" s="898"/>
      <c r="DE78" s="898"/>
      <c r="DF78" s="898"/>
      <c r="DG78" s="898"/>
      <c r="DH78" s="898"/>
      <c r="DI78" s="898"/>
      <c r="DJ78" s="898"/>
      <c r="DK78" s="898"/>
      <c r="DL78" s="898"/>
      <c r="DM78" s="898"/>
      <c r="DN78" s="898"/>
      <c r="DO78" s="898"/>
      <c r="DP78" s="898"/>
      <c r="DQ78" s="898"/>
      <c r="DR78" s="898"/>
      <c r="DS78" s="898"/>
      <c r="DT78" s="898"/>
      <c r="DU78" s="898"/>
      <c r="DV78" s="898"/>
      <c r="DW78" s="898"/>
      <c r="DX78" s="898"/>
      <c r="DY78" s="898"/>
      <c r="DZ78" s="898"/>
      <c r="EA78" s="898"/>
      <c r="EB78" s="898"/>
      <c r="EC78" s="898"/>
      <c r="ED78" s="898"/>
      <c r="EE78" s="898"/>
      <c r="EF78" s="898"/>
      <c r="EG78" s="898"/>
      <c r="EH78" s="898"/>
      <c r="EI78" s="898"/>
      <c r="EJ78" s="898"/>
      <c r="EK78" s="898"/>
      <c r="EL78" s="898"/>
      <c r="EM78" s="898"/>
      <c r="EN78" s="898"/>
      <c r="EO78" s="898"/>
      <c r="EP78" s="898"/>
      <c r="EQ78" s="898"/>
      <c r="ER78" s="898"/>
      <c r="ES78" s="898"/>
      <c r="ET78" s="898"/>
      <c r="EU78" s="898"/>
      <c r="EV78" s="898"/>
      <c r="EW78" s="898"/>
      <c r="EX78" s="898"/>
      <c r="EY78" s="898"/>
      <c r="EZ78" s="898"/>
      <c r="FA78" s="898"/>
      <c r="FB78" s="898"/>
      <c r="FC78" s="898"/>
      <c r="FD78" s="898"/>
      <c r="FE78" s="898"/>
      <c r="FF78" s="898"/>
      <c r="FG78" s="898"/>
      <c r="FH78" s="898"/>
      <c r="FI78" s="898"/>
      <c r="FJ78" s="898"/>
      <c r="FK78" s="898"/>
      <c r="FL78" s="898"/>
      <c r="FM78" s="898"/>
      <c r="FN78" s="898"/>
      <c r="FO78" s="898"/>
      <c r="FP78" s="898"/>
      <c r="FQ78" s="898"/>
      <c r="FR78" s="898"/>
      <c r="FS78" s="898"/>
      <c r="FT78" s="898"/>
      <c r="FU78" s="898"/>
      <c r="FV78" s="898"/>
      <c r="FW78" s="898"/>
      <c r="FX78" s="898"/>
      <c r="FY78" s="898"/>
      <c r="FZ78" s="898"/>
      <c r="GA78" s="898"/>
      <c r="GB78" s="898"/>
      <c r="GC78" s="898"/>
      <c r="GD78" s="898"/>
      <c r="GE78" s="898"/>
      <c r="GF78" s="898"/>
      <c r="GG78" s="898"/>
      <c r="GH78" s="898"/>
      <c r="GI78" s="898"/>
      <c r="GJ78" s="898"/>
      <c r="GK78" s="898"/>
      <c r="GL78" s="898"/>
      <c r="GM78" s="898"/>
      <c r="GN78" s="898"/>
      <c r="GO78" s="898"/>
      <c r="GP78" s="898"/>
      <c r="GQ78" s="898"/>
      <c r="GR78" s="898"/>
      <c r="GS78" s="898"/>
      <c r="GT78" s="898"/>
      <c r="GU78" s="898"/>
      <c r="GV78" s="898"/>
      <c r="GW78" s="898"/>
      <c r="GX78" s="898"/>
      <c r="GY78" s="898"/>
      <c r="GZ78" s="898"/>
      <c r="HA78" s="898"/>
      <c r="HB78" s="898"/>
      <c r="HC78" s="898"/>
      <c r="HD78" s="898"/>
      <c r="HE78" s="898"/>
      <c r="HF78" s="898"/>
      <c r="HG78" s="898"/>
      <c r="HH78" s="898"/>
      <c r="HI78" s="898"/>
      <c r="HJ78" s="898"/>
      <c r="HK78" s="898"/>
      <c r="HL78" s="898"/>
      <c r="HM78" s="898"/>
      <c r="HN78" s="898"/>
      <c r="HO78" s="898"/>
      <c r="HP78" s="898"/>
      <c r="HQ78" s="898"/>
      <c r="HR78" s="898"/>
      <c r="HS78" s="898"/>
      <c r="HT78" s="898"/>
      <c r="HU78" s="898"/>
      <c r="HV78" s="898"/>
      <c r="HW78" s="898"/>
      <c r="HX78" s="898"/>
      <c r="HY78" s="898"/>
      <c r="HZ78" s="898"/>
      <c r="IA78" s="898"/>
      <c r="IB78" s="898"/>
      <c r="IC78" s="898"/>
      <c r="ID78" s="898"/>
      <c r="IE78" s="898"/>
      <c r="IF78" s="898"/>
      <c r="IG78" s="898"/>
      <c r="IH78" s="898"/>
      <c r="II78" s="898"/>
      <c r="IJ78" s="898"/>
      <c r="IK78" s="898"/>
      <c r="IL78" s="898"/>
      <c r="IM78" s="898"/>
      <c r="IN78" s="898"/>
      <c r="IO78" s="898"/>
      <c r="IP78" s="898"/>
      <c r="IQ78" s="898"/>
      <c r="IR78" s="898"/>
      <c r="IS78" s="898"/>
      <c r="IT78" s="898"/>
      <c r="IU78" s="898"/>
      <c r="IV78" s="898"/>
    </row>
    <row r="79" spans="1:256" ht="18">
      <c r="A79" s="1450"/>
      <c r="B79" s="898"/>
      <c r="C79" s="898"/>
      <c r="D79" s="898"/>
      <c r="E79" s="898"/>
      <c r="F79" s="898"/>
      <c r="G79" s="898"/>
      <c r="H79" s="898"/>
      <c r="I79" s="898"/>
      <c r="J79" s="898"/>
      <c r="K79" s="898"/>
      <c r="L79" s="898"/>
      <c r="M79" s="898"/>
      <c r="N79" s="898"/>
      <c r="O79" s="898"/>
      <c r="P79" s="898"/>
      <c r="Q79" s="898"/>
      <c r="R79" s="898"/>
      <c r="S79" s="898"/>
      <c r="T79" s="898"/>
      <c r="U79" s="898"/>
      <c r="V79" s="898"/>
      <c r="W79" s="898"/>
      <c r="X79" s="898"/>
      <c r="Y79" s="898"/>
      <c r="Z79" s="898"/>
      <c r="AA79" s="898"/>
      <c r="AB79" s="898"/>
      <c r="AC79" s="898"/>
      <c r="AD79" s="898"/>
      <c r="AE79" s="898"/>
      <c r="AF79" s="898"/>
      <c r="AG79" s="898"/>
      <c r="AH79" s="898"/>
      <c r="AI79" s="898"/>
      <c r="AJ79" s="898"/>
      <c r="AK79" s="898"/>
      <c r="AL79" s="898"/>
      <c r="AM79" s="898"/>
      <c r="AN79" s="898"/>
      <c r="AO79" s="898"/>
      <c r="AP79" s="898"/>
      <c r="AQ79" s="898"/>
      <c r="AR79" s="898"/>
      <c r="AS79" s="898"/>
      <c r="AT79" s="898"/>
      <c r="AU79" s="898"/>
      <c r="AV79" s="898"/>
      <c r="AW79" s="898"/>
      <c r="AX79" s="898"/>
      <c r="AY79" s="898"/>
      <c r="AZ79" s="898"/>
      <c r="BA79" s="898"/>
      <c r="BB79" s="898"/>
      <c r="BC79" s="898"/>
      <c r="BD79" s="898"/>
      <c r="BE79" s="898"/>
      <c r="BF79" s="898"/>
      <c r="BG79" s="898"/>
      <c r="BH79" s="898"/>
      <c r="BI79" s="898"/>
      <c r="BJ79" s="898"/>
      <c r="BK79" s="898"/>
      <c r="BL79" s="898"/>
      <c r="BM79" s="898"/>
      <c r="BN79" s="898"/>
      <c r="BO79" s="898"/>
      <c r="BP79" s="898"/>
      <c r="BQ79" s="898"/>
      <c r="BR79" s="898"/>
      <c r="BS79" s="898"/>
      <c r="BT79" s="898"/>
      <c r="BU79" s="898"/>
      <c r="BV79" s="898"/>
      <c r="BW79" s="898"/>
      <c r="BX79" s="898"/>
      <c r="BY79" s="898"/>
      <c r="BZ79" s="898"/>
      <c r="CA79" s="898"/>
      <c r="CB79" s="898"/>
      <c r="CC79" s="898"/>
      <c r="CD79" s="898"/>
      <c r="CE79" s="898"/>
      <c r="CF79" s="898"/>
      <c r="CG79" s="898"/>
      <c r="CH79" s="898"/>
      <c r="CI79" s="898"/>
      <c r="CJ79" s="898"/>
      <c r="CK79" s="898"/>
      <c r="CL79" s="898"/>
      <c r="CM79" s="898"/>
      <c r="CN79" s="898"/>
      <c r="CO79" s="898"/>
      <c r="CP79" s="898"/>
      <c r="CQ79" s="898"/>
      <c r="CR79" s="898"/>
      <c r="CS79" s="898"/>
      <c r="CT79" s="898"/>
      <c r="CU79" s="898"/>
      <c r="CV79" s="898"/>
      <c r="CW79" s="898"/>
      <c r="CX79" s="898"/>
      <c r="CY79" s="898"/>
      <c r="CZ79" s="898"/>
      <c r="DA79" s="898"/>
      <c r="DB79" s="898"/>
      <c r="DC79" s="898"/>
      <c r="DD79" s="898"/>
      <c r="DE79" s="898"/>
      <c r="DF79" s="898"/>
      <c r="DG79" s="898"/>
      <c r="DH79" s="898"/>
      <c r="DI79" s="898"/>
      <c r="DJ79" s="898"/>
      <c r="DK79" s="898"/>
      <c r="DL79" s="898"/>
      <c r="DM79" s="898"/>
      <c r="DN79" s="898"/>
      <c r="DO79" s="898"/>
      <c r="DP79" s="898"/>
      <c r="DQ79" s="898"/>
      <c r="DR79" s="898"/>
      <c r="DS79" s="898"/>
      <c r="DT79" s="898"/>
      <c r="DU79" s="898"/>
      <c r="DV79" s="898"/>
      <c r="DW79" s="898"/>
      <c r="DX79" s="898"/>
      <c r="DY79" s="898"/>
      <c r="DZ79" s="898"/>
      <c r="EA79" s="898"/>
      <c r="EB79" s="898"/>
      <c r="EC79" s="898"/>
      <c r="ED79" s="898"/>
      <c r="EE79" s="898"/>
      <c r="EF79" s="898"/>
      <c r="EG79" s="898"/>
      <c r="EH79" s="898"/>
      <c r="EI79" s="898"/>
      <c r="EJ79" s="898"/>
      <c r="EK79" s="898"/>
      <c r="EL79" s="898"/>
      <c r="EM79" s="898"/>
      <c r="EN79" s="898"/>
      <c r="EO79" s="898"/>
      <c r="EP79" s="898"/>
      <c r="EQ79" s="898"/>
      <c r="ER79" s="898"/>
      <c r="ES79" s="898"/>
      <c r="ET79" s="898"/>
      <c r="EU79" s="898"/>
      <c r="EV79" s="898"/>
      <c r="EW79" s="898"/>
      <c r="EX79" s="898"/>
      <c r="EY79" s="898"/>
      <c r="EZ79" s="898"/>
      <c r="FA79" s="898"/>
      <c r="FB79" s="898"/>
      <c r="FC79" s="898"/>
      <c r="FD79" s="898"/>
      <c r="FE79" s="898"/>
      <c r="FF79" s="898"/>
      <c r="FG79" s="898"/>
      <c r="FH79" s="898"/>
      <c r="FI79" s="898"/>
      <c r="FJ79" s="898"/>
      <c r="FK79" s="898"/>
      <c r="FL79" s="898"/>
      <c r="FM79" s="898"/>
      <c r="FN79" s="898"/>
      <c r="FO79" s="898"/>
      <c r="FP79" s="898"/>
      <c r="FQ79" s="898"/>
      <c r="FR79" s="898"/>
      <c r="FS79" s="898"/>
      <c r="FT79" s="898"/>
      <c r="FU79" s="898"/>
      <c r="FV79" s="898"/>
      <c r="FW79" s="898"/>
      <c r="FX79" s="898"/>
      <c r="FY79" s="898"/>
      <c r="FZ79" s="898"/>
      <c r="GA79" s="898"/>
      <c r="GB79" s="898"/>
      <c r="GC79" s="898"/>
      <c r="GD79" s="898"/>
      <c r="GE79" s="898"/>
      <c r="GF79" s="898"/>
      <c r="GG79" s="898"/>
      <c r="GH79" s="898"/>
      <c r="GI79" s="898"/>
      <c r="GJ79" s="898"/>
      <c r="GK79" s="898"/>
      <c r="GL79" s="898"/>
      <c r="GM79" s="898"/>
      <c r="GN79" s="898"/>
      <c r="GO79" s="898"/>
      <c r="GP79" s="898"/>
      <c r="GQ79" s="898"/>
      <c r="GR79" s="898"/>
      <c r="GS79" s="898"/>
      <c r="GT79" s="898"/>
      <c r="GU79" s="898"/>
      <c r="GV79" s="898"/>
      <c r="GW79" s="898"/>
      <c r="GX79" s="898"/>
      <c r="GY79" s="898"/>
      <c r="GZ79" s="898"/>
      <c r="HA79" s="898"/>
      <c r="HB79" s="898"/>
      <c r="HC79" s="898"/>
      <c r="HD79" s="898"/>
      <c r="HE79" s="898"/>
      <c r="HF79" s="898"/>
      <c r="HG79" s="898"/>
      <c r="HH79" s="898"/>
      <c r="HI79" s="898"/>
      <c r="HJ79" s="898"/>
      <c r="HK79" s="898"/>
      <c r="HL79" s="898"/>
      <c r="HM79" s="898"/>
      <c r="HN79" s="898"/>
      <c r="HO79" s="898"/>
      <c r="HP79" s="898"/>
      <c r="HQ79" s="898"/>
      <c r="HR79" s="898"/>
      <c r="HS79" s="898"/>
      <c r="HT79" s="898"/>
      <c r="HU79" s="898"/>
      <c r="HV79" s="898"/>
      <c r="HW79" s="898"/>
      <c r="HX79" s="898"/>
      <c r="HY79" s="898"/>
      <c r="HZ79" s="898"/>
      <c r="IA79" s="898"/>
      <c r="IB79" s="898"/>
      <c r="IC79" s="898"/>
      <c r="ID79" s="898"/>
      <c r="IE79" s="898"/>
      <c r="IF79" s="898"/>
      <c r="IG79" s="898"/>
      <c r="IH79" s="898"/>
      <c r="II79" s="898"/>
      <c r="IJ79" s="898"/>
      <c r="IK79" s="898"/>
      <c r="IL79" s="898"/>
      <c r="IM79" s="898"/>
      <c r="IN79" s="898"/>
      <c r="IO79" s="898"/>
      <c r="IP79" s="898"/>
      <c r="IQ79" s="898"/>
      <c r="IR79" s="898"/>
      <c r="IS79" s="898"/>
      <c r="IT79" s="898"/>
      <c r="IU79" s="898"/>
      <c r="IV79" s="898"/>
    </row>
    <row r="80" spans="1:256" s="898" customFormat="1" ht="18"/>
    <row r="81" spans="1:256" ht="18">
      <c r="A81" s="898"/>
      <c r="B81" s="898"/>
      <c r="C81" s="898"/>
      <c r="D81" s="898"/>
      <c r="E81" s="898"/>
      <c r="F81" s="898"/>
      <c r="G81" s="898"/>
      <c r="H81" s="898"/>
      <c r="I81" s="898"/>
      <c r="J81" s="898"/>
      <c r="K81" s="898"/>
      <c r="L81" s="898"/>
      <c r="M81" s="898"/>
      <c r="N81" s="898"/>
      <c r="O81" s="898"/>
      <c r="P81" s="898"/>
      <c r="Q81" s="898"/>
      <c r="R81" s="898"/>
      <c r="S81" s="898"/>
      <c r="T81" s="898"/>
      <c r="U81" s="898"/>
      <c r="V81" s="898"/>
      <c r="W81" s="898"/>
      <c r="X81" s="898"/>
      <c r="Y81" s="898"/>
      <c r="Z81" s="898"/>
      <c r="AA81" s="898"/>
      <c r="AB81" s="898"/>
      <c r="AC81" s="898"/>
      <c r="AD81" s="898"/>
      <c r="AE81" s="898"/>
      <c r="AF81" s="898"/>
      <c r="AG81" s="898"/>
      <c r="AH81" s="898"/>
      <c r="AI81" s="898"/>
      <c r="AJ81" s="898"/>
      <c r="AK81" s="898"/>
      <c r="AL81" s="898"/>
      <c r="AM81" s="898"/>
      <c r="AN81" s="898"/>
      <c r="AO81" s="898"/>
      <c r="AP81" s="898"/>
      <c r="AQ81" s="898"/>
      <c r="AR81" s="898"/>
      <c r="AS81" s="898"/>
      <c r="AT81" s="898"/>
      <c r="AU81" s="898"/>
      <c r="AV81" s="898"/>
      <c r="AW81" s="898"/>
      <c r="AX81" s="898"/>
      <c r="AY81" s="898"/>
      <c r="AZ81" s="898"/>
      <c r="BA81" s="898"/>
      <c r="BB81" s="898"/>
      <c r="BC81" s="898"/>
      <c r="BD81" s="898"/>
      <c r="BE81" s="898"/>
      <c r="BF81" s="898"/>
      <c r="BG81" s="898"/>
      <c r="BH81" s="898"/>
      <c r="BI81" s="898"/>
      <c r="BJ81" s="898"/>
      <c r="BK81" s="898"/>
      <c r="BL81" s="898"/>
      <c r="BM81" s="898"/>
      <c r="BN81" s="898"/>
      <c r="BO81" s="898"/>
      <c r="BP81" s="898"/>
      <c r="BQ81" s="898"/>
      <c r="BR81" s="898"/>
      <c r="BS81" s="898"/>
      <c r="BT81" s="898"/>
      <c r="BU81" s="898"/>
      <c r="BV81" s="898"/>
      <c r="BW81" s="898"/>
      <c r="BX81" s="898"/>
      <c r="BY81" s="898"/>
      <c r="BZ81" s="898"/>
      <c r="CA81" s="898"/>
      <c r="CB81" s="898"/>
      <c r="CC81" s="898"/>
      <c r="CD81" s="898"/>
      <c r="CE81" s="898"/>
      <c r="CF81" s="898"/>
      <c r="CG81" s="898"/>
      <c r="CH81" s="898"/>
      <c r="CI81" s="898"/>
      <c r="CJ81" s="898"/>
      <c r="CK81" s="898"/>
      <c r="CL81" s="898"/>
      <c r="CM81" s="898"/>
      <c r="CN81" s="898"/>
      <c r="CO81" s="898"/>
      <c r="CP81" s="898"/>
      <c r="CQ81" s="898"/>
      <c r="CR81" s="898"/>
      <c r="CS81" s="898"/>
      <c r="CT81" s="898"/>
      <c r="CU81" s="898"/>
      <c r="CV81" s="898"/>
      <c r="CW81" s="898"/>
      <c r="CX81" s="898"/>
      <c r="CY81" s="898"/>
      <c r="CZ81" s="898"/>
      <c r="DA81" s="898"/>
      <c r="DB81" s="898"/>
      <c r="DC81" s="898"/>
      <c r="DD81" s="898"/>
      <c r="DE81" s="898"/>
      <c r="DF81" s="898"/>
      <c r="DG81" s="898"/>
      <c r="DH81" s="898"/>
      <c r="DI81" s="898"/>
      <c r="DJ81" s="898"/>
      <c r="DK81" s="898"/>
      <c r="DL81" s="898"/>
      <c r="DM81" s="898"/>
      <c r="DN81" s="898"/>
      <c r="DO81" s="898"/>
      <c r="DP81" s="898"/>
      <c r="DQ81" s="898"/>
      <c r="DR81" s="898"/>
      <c r="DS81" s="898"/>
      <c r="DT81" s="898"/>
      <c r="DU81" s="898"/>
      <c r="DV81" s="898"/>
      <c r="DW81" s="898"/>
      <c r="DX81" s="898"/>
      <c r="DY81" s="898"/>
      <c r="DZ81" s="898"/>
      <c r="EA81" s="898"/>
      <c r="EB81" s="898"/>
      <c r="EC81" s="898"/>
      <c r="ED81" s="898"/>
      <c r="EE81" s="898"/>
      <c r="EF81" s="898"/>
      <c r="EG81" s="898"/>
      <c r="EH81" s="898"/>
      <c r="EI81" s="898"/>
      <c r="EJ81" s="898"/>
      <c r="EK81" s="898"/>
      <c r="EL81" s="898"/>
      <c r="EM81" s="898"/>
      <c r="EN81" s="898"/>
      <c r="EO81" s="898"/>
      <c r="EP81" s="898"/>
      <c r="EQ81" s="898"/>
      <c r="ER81" s="898"/>
      <c r="ES81" s="898"/>
      <c r="ET81" s="898"/>
      <c r="EU81" s="898"/>
      <c r="EV81" s="898"/>
      <c r="EW81" s="898"/>
      <c r="EX81" s="898"/>
      <c r="EY81" s="898"/>
      <c r="EZ81" s="898"/>
      <c r="FA81" s="898"/>
      <c r="FB81" s="898"/>
      <c r="FC81" s="898"/>
      <c r="FD81" s="898"/>
      <c r="FE81" s="898"/>
      <c r="FF81" s="898"/>
      <c r="FG81" s="898"/>
      <c r="FH81" s="898"/>
      <c r="FI81" s="898"/>
      <c r="FJ81" s="898"/>
      <c r="FK81" s="898"/>
      <c r="FL81" s="898"/>
      <c r="FM81" s="898"/>
      <c r="FN81" s="898"/>
      <c r="FO81" s="898"/>
      <c r="FP81" s="898"/>
      <c r="FQ81" s="898"/>
      <c r="FR81" s="898"/>
      <c r="FS81" s="898"/>
      <c r="FT81" s="898"/>
      <c r="FU81" s="898"/>
      <c r="FV81" s="898"/>
      <c r="FW81" s="898"/>
      <c r="FX81" s="898"/>
      <c r="FY81" s="898"/>
      <c r="FZ81" s="898"/>
      <c r="GA81" s="898"/>
      <c r="GB81" s="898"/>
      <c r="GC81" s="898"/>
      <c r="GD81" s="898"/>
      <c r="GE81" s="898"/>
      <c r="GF81" s="898"/>
      <c r="GG81" s="898"/>
      <c r="GH81" s="898"/>
      <c r="GI81" s="898"/>
      <c r="GJ81" s="898"/>
      <c r="GK81" s="898"/>
      <c r="GL81" s="898"/>
      <c r="GM81" s="898"/>
      <c r="GN81" s="898"/>
      <c r="GO81" s="898"/>
      <c r="GP81" s="898"/>
      <c r="GQ81" s="898"/>
      <c r="GR81" s="898"/>
      <c r="GS81" s="898"/>
      <c r="GT81" s="898"/>
      <c r="GU81" s="898"/>
      <c r="GV81" s="898"/>
      <c r="GW81" s="898"/>
      <c r="GX81" s="898"/>
      <c r="GY81" s="898"/>
      <c r="GZ81" s="898"/>
      <c r="HA81" s="898"/>
      <c r="HB81" s="898"/>
      <c r="HC81" s="898"/>
      <c r="HD81" s="898"/>
      <c r="HE81" s="898"/>
      <c r="HF81" s="898"/>
      <c r="HG81" s="898"/>
      <c r="HH81" s="898"/>
      <c r="HI81" s="898"/>
      <c r="HJ81" s="898"/>
      <c r="HK81" s="898"/>
      <c r="HL81" s="898"/>
      <c r="HM81" s="898"/>
      <c r="HN81" s="898"/>
      <c r="HO81" s="898"/>
      <c r="HP81" s="898"/>
      <c r="HQ81" s="898"/>
      <c r="HR81" s="898"/>
      <c r="HS81" s="898"/>
      <c r="HT81" s="898"/>
      <c r="HU81" s="898"/>
      <c r="HV81" s="898"/>
      <c r="HW81" s="898"/>
      <c r="HX81" s="898"/>
      <c r="HY81" s="898"/>
      <c r="HZ81" s="898"/>
      <c r="IA81" s="898"/>
      <c r="IB81" s="898"/>
      <c r="IC81" s="898"/>
      <c r="ID81" s="898"/>
      <c r="IE81" s="898"/>
      <c r="IF81" s="898"/>
      <c r="IG81" s="898"/>
      <c r="IH81" s="898"/>
      <c r="II81" s="898"/>
      <c r="IJ81" s="898"/>
      <c r="IK81" s="898"/>
      <c r="IL81" s="898"/>
      <c r="IM81" s="898"/>
      <c r="IN81" s="898"/>
      <c r="IO81" s="898"/>
      <c r="IP81" s="898"/>
      <c r="IQ81" s="898"/>
      <c r="IR81" s="898"/>
      <c r="IS81" s="898"/>
      <c r="IT81" s="898"/>
      <c r="IU81" s="898"/>
      <c r="IV81" s="898"/>
    </row>
    <row r="82" spans="1:256" s="898" customFormat="1" ht="18"/>
    <row r="83" spans="1:256" s="898" customFormat="1" ht="18"/>
    <row r="84" spans="1:256" s="898" customFormat="1" ht="18"/>
    <row r="85" spans="1:256" ht="18">
      <c r="A85" s="898"/>
      <c r="B85" s="898"/>
      <c r="C85" s="898"/>
      <c r="D85" s="898"/>
      <c r="E85" s="898"/>
      <c r="F85" s="898"/>
      <c r="G85" s="898"/>
      <c r="H85" s="898"/>
      <c r="I85" s="898"/>
      <c r="J85" s="898"/>
      <c r="K85" s="898"/>
      <c r="L85" s="898"/>
      <c r="M85" s="898"/>
      <c r="N85" s="898"/>
      <c r="O85" s="898"/>
      <c r="P85" s="898"/>
      <c r="Q85" s="898"/>
      <c r="R85" s="898"/>
      <c r="S85" s="898"/>
      <c r="T85" s="898"/>
      <c r="U85" s="898"/>
      <c r="V85" s="898"/>
      <c r="W85" s="898"/>
      <c r="X85" s="898"/>
      <c r="Y85" s="898"/>
      <c r="Z85" s="898"/>
      <c r="AA85" s="898"/>
      <c r="AB85" s="898"/>
      <c r="AC85" s="898"/>
      <c r="AD85" s="898"/>
      <c r="AE85" s="898"/>
      <c r="AF85" s="898"/>
      <c r="AG85" s="898"/>
      <c r="AH85" s="898"/>
      <c r="AI85" s="898"/>
      <c r="AJ85" s="898"/>
      <c r="AK85" s="898"/>
      <c r="AL85" s="898"/>
      <c r="AM85" s="898"/>
      <c r="AN85" s="898"/>
      <c r="AO85" s="898"/>
      <c r="AP85" s="898"/>
      <c r="AQ85" s="898"/>
      <c r="AR85" s="898"/>
      <c r="AS85" s="898"/>
      <c r="AT85" s="898"/>
      <c r="AU85" s="898"/>
      <c r="AV85" s="898"/>
      <c r="AW85" s="898"/>
      <c r="AX85" s="898"/>
      <c r="AY85" s="898"/>
      <c r="AZ85" s="898"/>
      <c r="BA85" s="898"/>
      <c r="BB85" s="898"/>
      <c r="BC85" s="898"/>
      <c r="BD85" s="898"/>
      <c r="BE85" s="898"/>
      <c r="BF85" s="898"/>
      <c r="BG85" s="898"/>
      <c r="BH85" s="898"/>
      <c r="BI85" s="898"/>
      <c r="BJ85" s="898"/>
      <c r="BK85" s="898"/>
      <c r="BL85" s="898"/>
      <c r="BM85" s="898"/>
      <c r="BN85" s="898"/>
      <c r="BO85" s="898"/>
      <c r="BP85" s="898"/>
      <c r="BQ85" s="898"/>
      <c r="BR85" s="898"/>
      <c r="BS85" s="898"/>
      <c r="BT85" s="898"/>
      <c r="BU85" s="898"/>
      <c r="BV85" s="898"/>
      <c r="BW85" s="898"/>
      <c r="BX85" s="898"/>
      <c r="BY85" s="898"/>
      <c r="BZ85" s="898"/>
      <c r="CA85" s="898"/>
      <c r="CB85" s="898"/>
      <c r="CC85" s="898"/>
      <c r="CD85" s="898"/>
      <c r="CE85" s="898"/>
      <c r="CF85" s="898"/>
      <c r="CG85" s="898"/>
      <c r="CH85" s="898"/>
      <c r="CI85" s="898"/>
      <c r="CJ85" s="898"/>
      <c r="CK85" s="898"/>
      <c r="CL85" s="898"/>
      <c r="CM85" s="898"/>
      <c r="CN85" s="898"/>
      <c r="CO85" s="898"/>
      <c r="CP85" s="898"/>
      <c r="CQ85" s="898"/>
      <c r="CR85" s="898"/>
      <c r="CS85" s="898"/>
      <c r="CT85" s="898"/>
      <c r="CU85" s="898"/>
      <c r="CV85" s="898"/>
      <c r="CW85" s="898"/>
      <c r="CX85" s="898"/>
      <c r="CY85" s="898"/>
      <c r="CZ85" s="898"/>
      <c r="DA85" s="898"/>
      <c r="DB85" s="898"/>
      <c r="DC85" s="898"/>
      <c r="DD85" s="898"/>
      <c r="DE85" s="898"/>
      <c r="DF85" s="898"/>
      <c r="DG85" s="898"/>
      <c r="DH85" s="898"/>
      <c r="DI85" s="898"/>
      <c r="DJ85" s="898"/>
      <c r="DK85" s="898"/>
      <c r="DL85" s="898"/>
      <c r="DM85" s="898"/>
      <c r="DN85" s="898"/>
      <c r="DO85" s="898"/>
      <c r="DP85" s="898"/>
      <c r="DQ85" s="898"/>
      <c r="DR85" s="898"/>
      <c r="DS85" s="898"/>
      <c r="DT85" s="898"/>
      <c r="DU85" s="898"/>
      <c r="DV85" s="898"/>
      <c r="DW85" s="898"/>
      <c r="DX85" s="898"/>
      <c r="DY85" s="898"/>
      <c r="DZ85" s="898"/>
      <c r="EA85" s="898"/>
      <c r="EB85" s="898"/>
      <c r="EC85" s="898"/>
      <c r="ED85" s="898"/>
      <c r="EE85" s="898"/>
      <c r="EF85" s="898"/>
      <c r="EG85" s="898"/>
      <c r="EH85" s="898"/>
      <c r="EI85" s="898"/>
      <c r="EJ85" s="898"/>
      <c r="EK85" s="898"/>
      <c r="EL85" s="898"/>
      <c r="EM85" s="898"/>
      <c r="EN85" s="898"/>
      <c r="EO85" s="898"/>
      <c r="EP85" s="898"/>
      <c r="EQ85" s="898"/>
      <c r="ER85" s="898"/>
      <c r="ES85" s="898"/>
      <c r="ET85" s="898"/>
      <c r="EU85" s="898"/>
      <c r="EV85" s="898"/>
      <c r="EW85" s="898"/>
      <c r="EX85" s="898"/>
      <c r="EY85" s="898"/>
      <c r="EZ85" s="898"/>
      <c r="FA85" s="898"/>
      <c r="FB85" s="898"/>
      <c r="FC85" s="898"/>
      <c r="FD85" s="898"/>
      <c r="FE85" s="898"/>
      <c r="FF85" s="898"/>
      <c r="FG85" s="898"/>
      <c r="FH85" s="898"/>
      <c r="FI85" s="898"/>
      <c r="FJ85" s="898"/>
      <c r="FK85" s="898"/>
      <c r="FL85" s="898"/>
      <c r="FM85" s="898"/>
      <c r="FN85" s="898"/>
      <c r="FO85" s="898"/>
      <c r="FP85" s="898"/>
      <c r="FQ85" s="898"/>
      <c r="FR85" s="898"/>
      <c r="FS85" s="898"/>
      <c r="FT85" s="898"/>
      <c r="FU85" s="898"/>
      <c r="FV85" s="898"/>
      <c r="FW85" s="898"/>
      <c r="FX85" s="898"/>
      <c r="FY85" s="898"/>
      <c r="FZ85" s="898"/>
      <c r="GA85" s="898"/>
      <c r="GB85" s="898"/>
      <c r="GC85" s="898"/>
      <c r="GD85" s="898"/>
      <c r="GE85" s="898"/>
      <c r="GF85" s="898"/>
      <c r="GG85" s="898"/>
      <c r="GH85" s="898"/>
      <c r="GI85" s="898"/>
      <c r="GJ85" s="898"/>
      <c r="GK85" s="898"/>
      <c r="GL85" s="898"/>
      <c r="GM85" s="898"/>
      <c r="GN85" s="898"/>
      <c r="GO85" s="898"/>
      <c r="GP85" s="898"/>
      <c r="GQ85" s="898"/>
      <c r="GR85" s="898"/>
      <c r="GS85" s="898"/>
      <c r="GT85" s="898"/>
      <c r="GU85" s="898"/>
      <c r="GV85" s="898"/>
      <c r="GW85" s="898"/>
      <c r="GX85" s="898"/>
      <c r="GY85" s="898"/>
      <c r="GZ85" s="898"/>
      <c r="HA85" s="898"/>
      <c r="HB85" s="898"/>
      <c r="HC85" s="898"/>
      <c r="HD85" s="898"/>
      <c r="HE85" s="898"/>
      <c r="HF85" s="898"/>
      <c r="HG85" s="898"/>
      <c r="HH85" s="898"/>
      <c r="HI85" s="898"/>
      <c r="HJ85" s="898"/>
      <c r="HK85" s="898"/>
      <c r="HL85" s="898"/>
      <c r="HM85" s="898"/>
      <c r="HN85" s="898"/>
      <c r="HO85" s="898"/>
      <c r="HP85" s="898"/>
      <c r="HQ85" s="898"/>
      <c r="HR85" s="898"/>
      <c r="HS85" s="898"/>
      <c r="HT85" s="898"/>
      <c r="HU85" s="898"/>
      <c r="HV85" s="898"/>
      <c r="HW85" s="898"/>
      <c r="HX85" s="898"/>
      <c r="HY85" s="898"/>
      <c r="HZ85" s="898"/>
      <c r="IA85" s="898"/>
      <c r="IB85" s="898"/>
      <c r="IC85" s="898"/>
      <c r="ID85" s="898"/>
      <c r="IE85" s="898"/>
      <c r="IF85" s="898"/>
      <c r="IG85" s="898"/>
      <c r="IH85" s="898"/>
      <c r="II85" s="898"/>
      <c r="IJ85" s="898"/>
      <c r="IK85" s="898"/>
      <c r="IL85" s="898"/>
      <c r="IM85" s="898"/>
      <c r="IN85" s="898"/>
      <c r="IO85" s="898"/>
      <c r="IP85" s="898"/>
      <c r="IQ85" s="898"/>
      <c r="IR85" s="898"/>
      <c r="IS85" s="898"/>
      <c r="IT85" s="898"/>
      <c r="IU85" s="898"/>
      <c r="IV85" s="898"/>
    </row>
    <row r="86" spans="1:256" s="898" customFormat="1" ht="18"/>
    <row r="87" spans="1:256" s="898" customFormat="1" ht="18"/>
    <row r="88" spans="1:256" s="898" customFormat="1" ht="18"/>
    <row r="89" spans="1:256" s="898" customFormat="1" ht="18"/>
    <row r="90" spans="1:256" s="898" customFormat="1" ht="18"/>
    <row r="91" spans="1:256" s="898" customFormat="1" ht="18"/>
    <row r="92" spans="1:256" s="898" customFormat="1" ht="18"/>
    <row r="93" spans="1:256" s="898" customFormat="1" ht="18"/>
    <row r="94" spans="1:256" s="898" customFormat="1" ht="18"/>
    <row r="95" spans="1:256" s="898" customFormat="1" ht="18"/>
    <row r="96" spans="1:256" s="898" customFormat="1" ht="18"/>
    <row r="97" s="898" customFormat="1" ht="18"/>
    <row r="98" s="898" customFormat="1" ht="18"/>
    <row r="99" s="898" customFormat="1" ht="18"/>
    <row r="100" s="898" customFormat="1" ht="18"/>
    <row r="101" s="898" customFormat="1" ht="18"/>
    <row r="102" s="898" customFormat="1" ht="18"/>
    <row r="103" s="898" customFormat="1" ht="18"/>
    <row r="104" s="898" customFormat="1" ht="18"/>
    <row r="105" s="898" customFormat="1" ht="18"/>
    <row r="106" s="898" customFormat="1" ht="18"/>
    <row r="107" s="898" customFormat="1" ht="18"/>
    <row r="108" s="898" customFormat="1" ht="18"/>
    <row r="109" s="898" customFormat="1" ht="18"/>
    <row r="110" s="898" customFormat="1" ht="18"/>
    <row r="111" s="898" customFormat="1" ht="18"/>
    <row r="112" s="898" customFormat="1" ht="18"/>
    <row r="113" s="898" customFormat="1" ht="18"/>
    <row r="114" s="898" customFormat="1" ht="18"/>
    <row r="115" s="898" customFormat="1" ht="18"/>
    <row r="116" s="898" customFormat="1" ht="18"/>
    <row r="117" s="898" customFormat="1" ht="18"/>
    <row r="118" s="898" customFormat="1" ht="18"/>
    <row r="119" s="898" customFormat="1" ht="18"/>
    <row r="120" s="898" customFormat="1" ht="18"/>
    <row r="121" s="898" customFormat="1" ht="18"/>
    <row r="122" s="898" customFormat="1" ht="18"/>
    <row r="123" s="898" customFormat="1" ht="18"/>
    <row r="124" s="898" customFormat="1" ht="18"/>
    <row r="125" s="898" customFormat="1" ht="18"/>
    <row r="126" s="898" customFormat="1" ht="18"/>
    <row r="127" s="898" customFormat="1" ht="18"/>
    <row r="128" s="898" customFormat="1" ht="18"/>
    <row r="129" s="898" customFormat="1" ht="18"/>
    <row r="130" s="898" customFormat="1" ht="18"/>
    <row r="131" s="898" customFormat="1" ht="18"/>
    <row r="132" s="898" customFormat="1" ht="18"/>
    <row r="133" s="898" customFormat="1" ht="18"/>
    <row r="134" s="898" customFormat="1" ht="18"/>
    <row r="135" s="898" customFormat="1" ht="18"/>
  </sheetData>
  <customSheetViews>
    <customSheetView guid="{BD09DBC2-63A5-4D9C-9B00-4281066E9389}" scale="59" showPageBreaks="1" showGridLines="0" fitToPage="1" printArea="1">
      <selection activeCell="H22" sqref="H22"/>
      <pageMargins left="0.5" right="0.5" top="0.5" bottom="0.5" header="0" footer="0.25"/>
      <pageSetup scale="59" firstPageNumber="42" orientation="landscape" useFirstPageNumber="1" r:id="rId1"/>
      <headerFooter alignWithMargins="0">
        <oddFooter>&amp;C&amp;8&amp;P</oddFooter>
      </headerFooter>
    </customSheetView>
    <customSheetView guid="{C82E0A7D-2B5B-48FC-A705-3168E651E04C}" scale="59" showPageBreaks="1" showGridLines="0" fitToPage="1" printArea="1">
      <selection activeCell="L41" sqref="L41"/>
      <pageMargins left="0.5" right="0.5" top="0.5" bottom="0.5" header="0" footer="0.25"/>
      <pageSetup scale="59" orientation="landscape" r:id="rId2"/>
      <headerFooter scaleWithDoc="0" alignWithMargins="0">
        <oddFooter>&amp;C&amp;8 42</oddFooter>
      </headerFooter>
    </customSheetView>
    <customSheetView guid="{A8B05C3B-0E7E-44A3-A097-AF4C5C09F04E}" scale="59" showPageBreaks="1" showGridLines="0" fitToPage="1" printArea="1">
      <selection activeCell="Q20" sqref="Q20"/>
      <pageMargins left="0.5" right="0.5" top="0.5" bottom="0.5" header="0" footer="0.25"/>
      <pageSetup scale="59" orientation="landscape" r:id="rId3"/>
      <headerFooter scaleWithDoc="0" alignWithMargins="0">
        <oddFooter>&amp;C&amp;8 42</oddFooter>
      </headerFooter>
    </customSheetView>
    <customSheetView guid="{8EE6466D-211E-4E05-9F84-CC0A1C6F79F4}" scale="59" showGridLines="0" fitToPage="1">
      <selection activeCell="L41" sqref="L41"/>
      <pageMargins left="0.5" right="0.5" top="0.5" bottom="0.5" header="0" footer="0.25"/>
      <pageSetup scale="62" orientation="landscape" r:id="rId4"/>
      <headerFooter scaleWithDoc="0" alignWithMargins="0">
        <oddFooter>&amp;C&amp;8 42</oddFooter>
      </headerFooter>
    </customSheetView>
    <customSheetView guid="{4735AAE3-27B4-4549-AAB4-50ACA997F5F5}" scale="59" showPageBreaks="1" showGridLines="0" fitToPage="1" printArea="1">
      <selection activeCell="L34" sqref="L34"/>
      <pageMargins left="0.5" right="0.5" top="0.5" bottom="0.5" header="0" footer="0.25"/>
      <pageSetup scale="59" orientation="landscape" r:id="rId5"/>
      <headerFooter scaleWithDoc="0" alignWithMargins="0">
        <oddFooter>&amp;C&amp;8 42</oddFooter>
      </headerFooter>
    </customSheetView>
    <customSheetView guid="{80622567-647A-4891-B8EE-6B9E2C4DAC44}" scale="59" showPageBreaks="1" showGridLines="0" fitToPage="1" printArea="1">
      <selection activeCell="A41" sqref="A41"/>
      <pageMargins left="0.5" right="0.5" top="0.5" bottom="0.5" header="0" footer="0.25"/>
      <pageSetup scale="59" orientation="landscape" r:id="rId6"/>
      <headerFooter scaleWithDoc="0" alignWithMargins="0">
        <oddFooter>&amp;C&amp;8 42</oddFooter>
      </headerFooter>
    </customSheetView>
    <customSheetView guid="{A97EE6C3-4DA8-41BD-BE43-F596EFCB43CA}" scale="59" showPageBreaks="1" showGridLines="0" fitToPage="1" printArea="1">
      <selection activeCell="L41" sqref="L41"/>
      <pageMargins left="0.5" right="0.5" top="0.5" bottom="0.5" header="0" footer="0.25"/>
      <pageSetup scale="59" orientation="landscape" r:id="rId7"/>
      <headerFooter scaleWithDoc="0" alignWithMargins="0">
        <oddFooter>&amp;C&amp;8 42</oddFooter>
      </headerFooter>
    </customSheetView>
    <customSheetView guid="{90B76C5A-2FC4-40F0-8436-3E4F075A4887}" scale="70" showPageBreaks="1" showGridLines="0" fitToPage="1" printArea="1">
      <selection activeCell="L41" sqref="L41"/>
      <pageMargins left="0.5" right="0.5" top="0.5" bottom="0.5" header="0" footer="0.25"/>
      <pageSetup scale="60" orientation="landscape" r:id="rId8"/>
      <headerFooter scaleWithDoc="0" alignWithMargins="0">
        <oddFooter>&amp;C&amp;8 42</oddFooter>
      </headerFooter>
    </customSheetView>
  </customSheetViews>
  <pageMargins left="0.5" right="0.5" top="0.5" bottom="0.5" header="0" footer="0.25"/>
  <pageSetup scale="60" firstPageNumber="42" orientation="landscape" useFirstPageNumber="1" r:id="rId9"/>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67" zoomScaleNormal="70" workbookViewId="0"/>
  </sheetViews>
  <sheetFormatPr defaultColWidth="8.88671875" defaultRowHeight="12.75"/>
  <cols>
    <col min="1" max="1" width="53.5546875" style="925" customWidth="1"/>
    <col min="2" max="2" width="1.88671875" style="925" customWidth="1"/>
    <col min="3" max="3" width="2.6640625" style="925" customWidth="1"/>
    <col min="4" max="4" width="17.5546875" style="925" customWidth="1"/>
    <col min="5" max="5" width="7.88671875" style="925" customWidth="1"/>
    <col min="6" max="6" width="18.6640625" style="925" customWidth="1"/>
    <col min="7" max="7" width="7.77734375" style="925" customWidth="1"/>
    <col min="8" max="8" width="18.6640625" style="925" customWidth="1"/>
    <col min="9" max="9" width="7.6640625" style="925" customWidth="1"/>
    <col min="10" max="10" width="21.88671875" style="925" customWidth="1"/>
    <col min="11" max="11" width="10.6640625" style="925" customWidth="1"/>
    <col min="12" max="16384" width="8.88671875" style="925"/>
  </cols>
  <sheetData>
    <row r="1" spans="1:10" ht="15">
      <c r="A1" s="1227" t="s">
        <v>1322</v>
      </c>
    </row>
    <row r="2" spans="1:10" ht="15">
      <c r="A2" s="1877"/>
    </row>
    <row r="3" spans="1:10" ht="18">
      <c r="A3" s="879" t="s">
        <v>0</v>
      </c>
      <c r="B3" s="884"/>
      <c r="C3" s="884"/>
      <c r="D3" s="884"/>
      <c r="E3" s="884"/>
      <c r="F3" s="884"/>
      <c r="G3" s="879"/>
      <c r="H3" s="879"/>
      <c r="I3" s="879"/>
      <c r="J3" s="924" t="s">
        <v>410</v>
      </c>
    </row>
    <row r="4" spans="1:10" ht="18">
      <c r="A4" s="879" t="s">
        <v>411</v>
      </c>
      <c r="B4" s="884"/>
      <c r="C4" s="879"/>
      <c r="D4" s="884"/>
      <c r="E4" s="884"/>
      <c r="F4" s="884"/>
      <c r="G4" s="879"/>
      <c r="H4" s="879"/>
      <c r="I4" s="879"/>
      <c r="J4" s="879"/>
    </row>
    <row r="5" spans="1:10" ht="18">
      <c r="A5" s="879" t="s">
        <v>412</v>
      </c>
      <c r="B5" s="884"/>
      <c r="C5" s="879"/>
      <c r="D5" s="884"/>
      <c r="E5" s="884"/>
      <c r="F5" s="884"/>
      <c r="G5" s="879"/>
      <c r="H5" s="879"/>
      <c r="I5" s="879"/>
      <c r="J5" s="879"/>
    </row>
    <row r="6" spans="1:10" ht="18">
      <c r="A6" s="926" t="s">
        <v>1639</v>
      </c>
      <c r="B6" s="884"/>
      <c r="C6" s="879"/>
      <c r="D6" s="884"/>
      <c r="E6" s="884"/>
      <c r="F6" s="884"/>
      <c r="G6" s="879"/>
      <c r="H6" s="879"/>
      <c r="I6" s="879"/>
      <c r="J6" s="879"/>
    </row>
    <row r="7" spans="1:10" ht="18">
      <c r="A7" s="879" t="s">
        <v>1198</v>
      </c>
      <c r="B7" s="884"/>
      <c r="C7" s="879"/>
      <c r="D7" s="884"/>
      <c r="E7" s="884"/>
      <c r="F7" s="884"/>
      <c r="G7" s="879"/>
      <c r="H7" s="879"/>
      <c r="I7" s="879"/>
      <c r="J7" s="879"/>
    </row>
    <row r="8" spans="1:10" ht="18">
      <c r="A8" s="879"/>
      <c r="B8" s="884"/>
      <c r="C8" s="879"/>
      <c r="D8" s="884"/>
      <c r="E8" s="884"/>
      <c r="F8" s="884"/>
      <c r="G8" s="879"/>
      <c r="H8" s="879"/>
      <c r="I8" s="879"/>
      <c r="J8" s="879"/>
    </row>
    <row r="9" spans="1:10" ht="18">
      <c r="A9" s="879"/>
      <c r="B9" s="879"/>
      <c r="C9" s="879"/>
      <c r="D9" s="879"/>
      <c r="E9" s="879"/>
      <c r="F9" s="879"/>
      <c r="G9" s="879"/>
      <c r="H9" s="879"/>
      <c r="I9" s="879"/>
      <c r="J9" s="879"/>
    </row>
    <row r="10" spans="1:10" ht="18">
      <c r="A10" s="879"/>
      <c r="B10" s="879"/>
      <c r="C10" s="879"/>
      <c r="D10" s="927"/>
      <c r="E10" s="879"/>
      <c r="F10" s="879"/>
      <c r="G10" s="879"/>
      <c r="H10" s="879"/>
      <c r="I10" s="879"/>
      <c r="J10" s="927"/>
    </row>
    <row r="11" spans="1:10" ht="18">
      <c r="A11" s="879"/>
      <c r="B11" s="879"/>
      <c r="C11" s="879"/>
      <c r="D11" s="927" t="s">
        <v>248</v>
      </c>
      <c r="E11" s="879"/>
      <c r="F11" s="879"/>
      <c r="G11" s="879"/>
      <c r="H11" s="879"/>
      <c r="I11" s="879"/>
      <c r="J11" s="927" t="s">
        <v>248</v>
      </c>
    </row>
    <row r="12" spans="1:10" ht="18">
      <c r="A12" s="928" t="s">
        <v>376</v>
      </c>
      <c r="B12" s="879"/>
      <c r="C12" s="879"/>
      <c r="D12" s="2010" t="s">
        <v>1640</v>
      </c>
      <c r="E12" s="879"/>
      <c r="F12" s="927" t="s">
        <v>250</v>
      </c>
      <c r="G12" s="879"/>
      <c r="H12" s="927" t="s">
        <v>251</v>
      </c>
      <c r="I12" s="879"/>
      <c r="J12" s="2008" t="s">
        <v>1641</v>
      </c>
    </row>
    <row r="13" spans="1:10" ht="18">
      <c r="A13" s="928"/>
      <c r="B13" s="879"/>
      <c r="C13" s="879"/>
      <c r="D13" s="929"/>
      <c r="E13" s="879"/>
      <c r="F13" s="929"/>
      <c r="G13" s="879"/>
      <c r="H13" s="930" t="s">
        <v>247</v>
      </c>
      <c r="I13" s="879"/>
      <c r="J13" s="929"/>
    </row>
    <row r="14" spans="1:10" ht="18">
      <c r="A14" s="931" t="s">
        <v>413</v>
      </c>
      <c r="B14" s="879"/>
      <c r="C14" s="879"/>
      <c r="D14" s="879"/>
      <c r="E14" s="879"/>
      <c r="F14" s="932"/>
      <c r="G14" s="879"/>
      <c r="H14" s="879"/>
      <c r="I14" s="879"/>
      <c r="J14" s="879"/>
    </row>
    <row r="15" spans="1:10" ht="24.95" customHeight="1">
      <c r="A15" s="884" t="s">
        <v>414</v>
      </c>
      <c r="B15" s="879"/>
      <c r="C15" s="884"/>
      <c r="D15" s="933">
        <v>2.7090000000000001</v>
      </c>
      <c r="E15" s="933"/>
      <c r="F15" s="933">
        <v>0</v>
      </c>
      <c r="G15" s="933"/>
      <c r="H15" s="933">
        <v>0</v>
      </c>
      <c r="I15" s="933"/>
      <c r="J15" s="933">
        <f>ROUND(D15+F15-H15,3)</f>
        <v>2.7090000000000001</v>
      </c>
    </row>
    <row r="16" spans="1:10" ht="24.95" customHeight="1">
      <c r="A16" s="934" t="s">
        <v>415</v>
      </c>
      <c r="B16" s="884"/>
      <c r="C16" s="884"/>
      <c r="D16" s="1383">
        <v>2297.69</v>
      </c>
      <c r="E16" s="935"/>
      <c r="F16" s="936">
        <v>6265.5079999999998</v>
      </c>
      <c r="G16" s="935"/>
      <c r="H16" s="936">
        <v>6773.4229999999998</v>
      </c>
      <c r="I16" s="935"/>
      <c r="J16" s="1383">
        <f>ROUND(D16+F16-H16,3)</f>
        <v>1789.7750000000001</v>
      </c>
    </row>
    <row r="17" spans="1:14" ht="24.95" customHeight="1">
      <c r="A17" s="884" t="s">
        <v>416</v>
      </c>
      <c r="B17" s="884"/>
      <c r="C17" s="884"/>
      <c r="D17" s="866">
        <v>0</v>
      </c>
      <c r="E17" s="935"/>
      <c r="F17" s="866">
        <v>211.262</v>
      </c>
      <c r="G17" s="935"/>
      <c r="H17" s="866">
        <v>211.262</v>
      </c>
      <c r="I17" s="935"/>
      <c r="J17" s="1383">
        <f>ROUND(D17+F17-H17,3)</f>
        <v>0</v>
      </c>
    </row>
    <row r="18" spans="1:14" ht="24.95" customHeight="1" thickBot="1">
      <c r="A18" s="937" t="s">
        <v>417</v>
      </c>
      <c r="B18" s="884"/>
      <c r="C18" s="884"/>
      <c r="D18" s="938">
        <f>ROUND(SUM(D15:D17),3)</f>
        <v>2300.3989999999999</v>
      </c>
      <c r="E18" s="939"/>
      <c r="F18" s="938">
        <f>ROUND(SUM(F15:F17),3)</f>
        <v>6476.77</v>
      </c>
      <c r="G18" s="939"/>
      <c r="H18" s="938">
        <f>ROUND(SUM(H15:H17),3)</f>
        <v>6984.6850000000004</v>
      </c>
      <c r="I18" s="939"/>
      <c r="J18" s="938">
        <f>ROUND(SUM(J15:J17),3)</f>
        <v>1792.4839999999999</v>
      </c>
      <c r="K18" s="940"/>
      <c r="L18" s="940"/>
      <c r="M18" s="940"/>
      <c r="N18" s="940"/>
    </row>
    <row r="19" spans="1:14" ht="18.75" thickTop="1">
      <c r="A19" s="884"/>
      <c r="B19" s="884"/>
      <c r="C19" s="884"/>
      <c r="D19" s="941"/>
      <c r="E19" s="884"/>
      <c r="F19" s="941"/>
      <c r="G19" s="884"/>
      <c r="H19" s="941"/>
      <c r="I19" s="884"/>
      <c r="J19" s="941"/>
    </row>
    <row r="20" spans="1:14" ht="18">
      <c r="A20" s="884"/>
      <c r="B20" s="884"/>
      <c r="C20" s="884"/>
      <c r="D20" s="941"/>
      <c r="E20" s="884"/>
      <c r="F20" s="941"/>
      <c r="G20" s="884"/>
      <c r="H20" s="941"/>
      <c r="I20" s="884"/>
      <c r="J20" s="941"/>
    </row>
    <row r="21" spans="1:14" ht="18">
      <c r="A21" s="884"/>
      <c r="B21" s="884"/>
      <c r="C21" s="884"/>
      <c r="D21" s="941"/>
      <c r="E21" s="884"/>
      <c r="F21" s="941"/>
      <c r="G21" s="884"/>
      <c r="H21" s="941"/>
      <c r="I21" s="884"/>
      <c r="J21" s="941"/>
    </row>
    <row r="22" spans="1:14" ht="18.75" customHeight="1">
      <c r="A22" s="942" t="s">
        <v>418</v>
      </c>
      <c r="B22" s="884"/>
      <c r="C22" s="884"/>
      <c r="D22" s="884"/>
      <c r="E22" s="884"/>
      <c r="F22" s="884" t="s">
        <v>16</v>
      </c>
      <c r="G22" s="884"/>
      <c r="H22" s="884"/>
      <c r="I22" s="884"/>
      <c r="J22" s="884"/>
    </row>
    <row r="23" spans="1:14" ht="12.75" customHeight="1"/>
    <row r="24" spans="1:14" ht="56.25" customHeight="1">
      <c r="A24" s="3377" t="s">
        <v>1340</v>
      </c>
      <c r="B24" s="3378"/>
      <c r="C24" s="3378"/>
      <c r="D24" s="3378"/>
      <c r="E24" s="3378"/>
      <c r="F24" s="3378"/>
      <c r="G24" s="3378"/>
      <c r="H24" s="3378"/>
      <c r="I24" s="3378"/>
      <c r="J24" s="3378"/>
    </row>
    <row r="25" spans="1:14" ht="32.25" customHeight="1">
      <c r="A25" s="3379" t="s">
        <v>1647</v>
      </c>
      <c r="B25" s="3380"/>
      <c r="C25" s="3380"/>
      <c r="D25" s="3380"/>
      <c r="E25" s="3380"/>
      <c r="F25" s="3380"/>
      <c r="G25" s="3380"/>
      <c r="H25" s="3380"/>
      <c r="I25" s="3380"/>
      <c r="J25" s="3380"/>
    </row>
    <row r="26" spans="1:14" ht="18.75" customHeight="1">
      <c r="A26" s="3381"/>
      <c r="B26" s="3382"/>
      <c r="C26" s="3382"/>
      <c r="D26" s="3382"/>
      <c r="E26" s="3382"/>
      <c r="F26" s="3382"/>
      <c r="G26" s="3382"/>
      <c r="H26" s="3382"/>
      <c r="I26" s="3382"/>
      <c r="J26" s="3382"/>
    </row>
    <row r="27" spans="1:14" ht="18" customHeight="1">
      <c r="A27" s="943"/>
      <c r="B27" s="944"/>
      <c r="C27" s="944"/>
      <c r="D27" s="944"/>
      <c r="E27" s="944"/>
      <c r="F27" s="944"/>
      <c r="G27" s="944"/>
      <c r="H27" s="944"/>
      <c r="I27" s="944"/>
      <c r="J27" s="944"/>
    </row>
    <row r="28" spans="1:14" ht="20.25" customHeight="1">
      <c r="A28" s="3383"/>
      <c r="B28" s="3382"/>
      <c r="C28" s="3382"/>
      <c r="D28" s="3382"/>
      <c r="E28" s="3382"/>
      <c r="F28" s="3382"/>
      <c r="G28" s="3382"/>
      <c r="H28" s="3382"/>
      <c r="I28" s="3382"/>
      <c r="J28" s="3382"/>
    </row>
    <row r="29" spans="1:14" ht="20.25" customHeight="1">
      <c r="A29" s="945"/>
      <c r="B29" s="944"/>
      <c r="C29" s="944"/>
      <c r="D29" s="944"/>
      <c r="E29" s="944"/>
      <c r="F29" s="944"/>
      <c r="G29" s="944"/>
      <c r="H29" s="944"/>
      <c r="I29" s="944"/>
      <c r="J29" s="944"/>
    </row>
    <row r="30" spans="1:14" ht="20.25" customHeight="1">
      <c r="A30" s="945"/>
      <c r="B30" s="944"/>
      <c r="C30" s="944"/>
      <c r="D30" s="944"/>
      <c r="E30" s="944"/>
      <c r="F30" s="944"/>
      <c r="G30" s="944"/>
      <c r="H30" s="944"/>
      <c r="I30" s="944"/>
      <c r="J30" s="944"/>
    </row>
    <row r="31" spans="1:14" ht="20.25" customHeight="1">
      <c r="A31" s="945"/>
      <c r="B31" s="944"/>
      <c r="C31" s="944"/>
      <c r="D31" s="944"/>
      <c r="E31" s="944"/>
      <c r="F31" s="944"/>
      <c r="G31" s="944"/>
      <c r="H31" s="944"/>
      <c r="I31" s="944"/>
      <c r="J31" s="944"/>
    </row>
    <row r="32" spans="1:14" ht="20.25" customHeight="1">
      <c r="A32" s="945"/>
      <c r="B32" s="944"/>
      <c r="C32" s="944"/>
      <c r="D32" s="944"/>
      <c r="E32" s="944"/>
      <c r="F32" s="944"/>
      <c r="G32" s="944"/>
      <c r="H32" s="944"/>
      <c r="I32" s="944"/>
      <c r="J32" s="944"/>
    </row>
    <row r="33" spans="1:10" ht="20.25" customHeight="1">
      <c r="A33" s="945"/>
      <c r="B33" s="944"/>
      <c r="C33" s="944"/>
      <c r="D33" s="944"/>
      <c r="E33" s="944"/>
      <c r="F33" s="944"/>
      <c r="G33" s="944"/>
      <c r="H33" s="944"/>
      <c r="I33" s="944"/>
      <c r="J33" s="944"/>
    </row>
    <row r="34" spans="1:10" ht="20.25" customHeight="1">
      <c r="A34" s="945"/>
      <c r="B34" s="944"/>
      <c r="C34" s="944"/>
      <c r="D34" s="944"/>
      <c r="E34" s="944"/>
      <c r="F34" s="944"/>
      <c r="G34" s="944"/>
      <c r="H34" s="944"/>
      <c r="I34" s="944"/>
      <c r="J34" s="944"/>
    </row>
    <row r="35" spans="1:10" ht="20.25" customHeight="1">
      <c r="A35" s="945"/>
      <c r="B35" s="944"/>
      <c r="C35" s="944"/>
      <c r="D35" s="944"/>
      <c r="E35" s="944"/>
      <c r="F35" s="944"/>
      <c r="G35" s="944"/>
      <c r="H35" s="944"/>
      <c r="I35" s="944"/>
      <c r="J35" s="944"/>
    </row>
    <row r="36" spans="1:10" ht="20.25" customHeight="1">
      <c r="A36" s="945"/>
      <c r="B36" s="944"/>
      <c r="C36" s="944"/>
      <c r="D36" s="944"/>
      <c r="E36" s="944"/>
      <c r="F36" s="944"/>
      <c r="G36" s="944"/>
      <c r="H36" s="944"/>
      <c r="I36" s="944"/>
      <c r="J36" s="944"/>
    </row>
    <row r="37" spans="1:10" ht="20.25" customHeight="1">
      <c r="A37" s="945"/>
      <c r="B37" s="944"/>
      <c r="C37" s="944"/>
      <c r="D37" s="944"/>
      <c r="E37" s="944"/>
      <c r="F37" s="944"/>
      <c r="G37" s="944"/>
      <c r="H37" s="944"/>
      <c r="I37" s="944"/>
      <c r="J37" s="944"/>
    </row>
    <row r="38" spans="1:10" ht="20.25" customHeight="1">
      <c r="A38" s="945"/>
      <c r="B38" s="944"/>
      <c r="C38" s="944"/>
      <c r="D38" s="944"/>
      <c r="E38" s="944"/>
      <c r="F38" s="944"/>
      <c r="G38" s="944"/>
      <c r="H38" s="944"/>
      <c r="I38" s="944"/>
      <c r="J38" s="944"/>
    </row>
    <row r="39" spans="1:10" ht="20.25" customHeight="1">
      <c r="A39" s="945"/>
      <c r="B39" s="944"/>
      <c r="C39" s="944"/>
      <c r="D39" s="944"/>
      <c r="E39" s="944"/>
      <c r="F39" s="944"/>
      <c r="G39" s="944"/>
      <c r="H39" s="944"/>
      <c r="I39" s="944"/>
      <c r="J39" s="944"/>
    </row>
    <row r="40" spans="1:10" ht="20.25" customHeight="1">
      <c r="A40" s="945"/>
      <c r="B40" s="944"/>
      <c r="C40" s="944"/>
      <c r="D40" s="944"/>
      <c r="E40" s="944"/>
      <c r="F40" s="944"/>
      <c r="G40" s="944"/>
      <c r="H40" s="944"/>
      <c r="I40" s="944"/>
      <c r="J40" s="944"/>
    </row>
    <row r="41" spans="1:10" ht="21" customHeight="1"/>
    <row r="42" spans="1:10" ht="21" customHeight="1">
      <c r="A42" s="945"/>
      <c r="B42" s="944"/>
      <c r="C42" s="944"/>
      <c r="D42" s="944"/>
      <c r="E42" s="944"/>
      <c r="F42" s="944"/>
      <c r="G42" s="944"/>
      <c r="H42" s="944"/>
      <c r="I42" s="944"/>
      <c r="J42" s="944"/>
    </row>
    <row r="43" spans="1:10" ht="18" customHeight="1">
      <c r="A43" s="946"/>
      <c r="B43" s="947"/>
      <c r="C43" s="948"/>
      <c r="D43" s="949"/>
      <c r="E43" s="948"/>
      <c r="F43" s="949"/>
      <c r="G43" s="948"/>
      <c r="H43" s="949"/>
      <c r="I43" s="950"/>
    </row>
    <row r="44" spans="1:10" ht="18" customHeight="1">
      <c r="A44" s="951"/>
      <c r="B44" s="947"/>
      <c r="C44" s="947"/>
      <c r="D44" s="949"/>
      <c r="E44" s="947"/>
      <c r="F44" s="952"/>
      <c r="G44" s="949"/>
      <c r="H44" s="949"/>
      <c r="I44" s="950"/>
    </row>
    <row r="45" spans="1:10" ht="18" customHeight="1">
      <c r="A45" s="951"/>
      <c r="B45" s="947"/>
      <c r="C45" s="947"/>
      <c r="D45" s="949"/>
      <c r="E45" s="947"/>
      <c r="F45" s="952"/>
      <c r="G45" s="949"/>
      <c r="H45" s="949"/>
      <c r="I45" s="950"/>
    </row>
    <row r="46" spans="1:10" ht="18" customHeight="1">
      <c r="A46" s="951"/>
      <c r="B46" s="947"/>
      <c r="C46" s="947"/>
      <c r="D46" s="949"/>
      <c r="E46" s="947"/>
      <c r="F46" s="952"/>
      <c r="G46" s="949"/>
      <c r="H46" s="949"/>
      <c r="I46" s="950"/>
    </row>
    <row r="47" spans="1:10" ht="18" customHeight="1">
      <c r="A47" s="951"/>
      <c r="B47" s="947"/>
      <c r="C47" s="947"/>
      <c r="D47" s="949"/>
      <c r="E47" s="947"/>
      <c r="F47" s="949"/>
      <c r="G47" s="949"/>
      <c r="H47" s="953"/>
      <c r="I47" s="950"/>
    </row>
    <row r="48" spans="1:10" ht="18" customHeight="1">
      <c r="A48" s="954"/>
      <c r="B48" s="947"/>
      <c r="C48" s="947"/>
      <c r="D48" s="949"/>
      <c r="E48" s="947"/>
      <c r="F48" s="949"/>
      <c r="G48" s="949"/>
      <c r="H48" s="949"/>
      <c r="I48" s="950"/>
    </row>
    <row r="49" spans="1:9" ht="18" customHeight="1">
      <c r="A49" s="955"/>
      <c r="B49" s="947"/>
      <c r="C49" s="947"/>
      <c r="D49" s="949"/>
      <c r="E49" s="947"/>
      <c r="F49" s="953"/>
      <c r="G49" s="949"/>
      <c r="H49" s="949"/>
      <c r="I49" s="950"/>
    </row>
    <row r="50" spans="1:9" ht="18" customHeight="1">
      <c r="A50" s="951"/>
      <c r="B50" s="947"/>
      <c r="C50" s="947"/>
      <c r="D50" s="949"/>
      <c r="E50" s="947"/>
      <c r="F50" s="952"/>
      <c r="G50" s="949"/>
      <c r="H50" s="949"/>
      <c r="I50" s="950"/>
    </row>
    <row r="51" spans="1:9" ht="18" customHeight="1">
      <c r="A51" s="951"/>
      <c r="B51" s="947"/>
      <c r="C51" s="947"/>
      <c r="D51" s="949"/>
      <c r="E51" s="947"/>
      <c r="F51" s="956"/>
      <c r="G51" s="949"/>
      <c r="H51" s="953"/>
      <c r="I51" s="950"/>
    </row>
    <row r="52" spans="1:9" ht="18" customHeight="1">
      <c r="A52" s="954"/>
      <c r="B52" s="947"/>
      <c r="C52" s="948"/>
      <c r="D52" s="957"/>
      <c r="E52" s="948"/>
      <c r="G52" s="948"/>
      <c r="H52" s="957"/>
      <c r="I52" s="950"/>
    </row>
  </sheetData>
  <customSheetViews>
    <customSheetView guid="{BD09DBC2-63A5-4D9C-9B00-4281066E9389}" scale="67" showPageBreaks="1" showGridLines="0" outlineSymbols="0" fitToPage="1" printArea="1">
      <selection activeCell="H18" sqref="H18"/>
      <rowBreaks count="1" manualBreakCount="1">
        <brk id="72" max="16383" man="1"/>
      </rowBreaks>
      <pageMargins left="0.5" right="0.5" top="1" bottom="0.5" header="0" footer="0.25"/>
      <pageSetup scale="67" firstPageNumber="43" orientation="landscape" useFirstPageNumber="1" verticalDpi="400" r:id="rId1"/>
      <headerFooter scaleWithDoc="0" alignWithMargins="0">
        <oddFooter>&amp;C&amp;8&amp;P</oddFooter>
      </headerFooter>
    </customSheetView>
    <customSheetView guid="{C82E0A7D-2B5B-48FC-A705-3168E651E04C}" scale="67" showPageBreaks="1" showGridLines="0" outlineSymbols="0" fitToPage="1" printArea="1">
      <selection activeCell="P35" sqref="P35"/>
      <rowBreaks count="1" manualBreakCount="1">
        <brk id="72" max="16383" man="1"/>
      </rowBreaks>
      <pageMargins left="0.5" right="0.5" top="1" bottom="0.5" header="0" footer="0.25"/>
      <pageSetup scale="67" orientation="landscape" verticalDpi="400" r:id="rId2"/>
      <headerFooter scaleWithDoc="0" alignWithMargins="0">
        <oddFooter>&amp;C&amp;8 43</oddFooter>
      </headerFooter>
    </customSheetView>
    <customSheetView guid="{A8B05C3B-0E7E-44A3-A097-AF4C5C09F04E}" scale="67" showPageBreaks="1" showGridLines="0" outlineSymbols="0" fitToPage="1" printArea="1">
      <selection activeCell="F20" sqref="F20"/>
      <rowBreaks count="1" manualBreakCount="1">
        <brk id="72" max="16383" man="1"/>
      </rowBreaks>
      <pageMargins left="0.5" right="0.5" top="1" bottom="0.5" header="0" footer="0.25"/>
      <pageSetup scale="67" orientation="landscape" verticalDpi="400" r:id="rId3"/>
      <headerFooter scaleWithDoc="0" alignWithMargins="0">
        <oddFooter>&amp;C&amp;8 43</oddFooter>
      </headerFooter>
    </customSheetView>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4"/>
      <headerFooter scaleWithDoc="0" alignWithMargins="0">
        <oddFooter>&amp;C&amp;8 43</oddFooter>
      </headerFooter>
    </customSheetView>
    <customSheetView guid="{4735AAE3-27B4-4549-AAB4-50ACA997F5F5}" scale="67" showPageBreaks="1" showGridLines="0" outlineSymbols="0" fitToPage="1" printArea="1">
      <selection activeCell="P35" sqref="P35"/>
      <rowBreaks count="1" manualBreakCount="1">
        <brk id="72" max="16383" man="1"/>
      </rowBreaks>
      <pageMargins left="0.5" right="0.5" top="1" bottom="0.5" header="0" footer="0.25"/>
      <pageSetup scale="67" orientation="landscape" verticalDpi="400" r:id="rId5"/>
      <headerFooter scaleWithDoc="0" alignWithMargins="0">
        <oddFooter>&amp;C&amp;8 43</oddFooter>
      </headerFooter>
    </customSheetView>
    <customSheetView guid="{80622567-647A-4891-B8EE-6B9E2C4DAC44}" scale="67" showPageBreaks="1" showGridLines="0" outlineSymbols="0" fitToPage="1" printArea="1">
      <selection activeCell="A26" sqref="A26:J26"/>
      <rowBreaks count="1" manualBreakCount="1">
        <brk id="72" max="16383" man="1"/>
      </rowBreaks>
      <pageMargins left="0.5" right="0.5" top="1" bottom="0.5" header="0" footer="0.25"/>
      <pageSetup scale="67" orientation="landscape" verticalDpi="400" r:id="rId6"/>
      <headerFooter scaleWithDoc="0" alignWithMargins="0">
        <oddFooter>&amp;C&amp;8 43</oddFooter>
      </headerFooter>
    </customSheetView>
    <customSheetView guid="{A97EE6C3-4DA8-41BD-BE43-F596EFCB43CA}" scale="67" showPageBreaks="1" showGridLines="0" outlineSymbols="0" fitToPage="1" printArea="1">
      <selection activeCell="P35" sqref="P35"/>
      <rowBreaks count="1" manualBreakCount="1">
        <brk id="72" max="16383" man="1"/>
      </rowBreaks>
      <pageMargins left="0.5" right="0.5" top="1" bottom="0.5" header="0" footer="0.25"/>
      <pageSetup scale="67" orientation="landscape" verticalDpi="400" r:id="rId7"/>
      <headerFooter scaleWithDoc="0" alignWithMargins="0">
        <oddFooter>&amp;C&amp;8 43</oddFooter>
      </headerFooter>
    </customSheetView>
    <customSheetView guid="{90B76C5A-2FC4-40F0-8436-3E4F075A4887}" scale="70" showPageBreaks="1" showGridLines="0" outlineSymbols="0" fitToPage="1" printArea="1">
      <selection activeCell="P35" sqref="P35"/>
      <rowBreaks count="1" manualBreakCount="1">
        <brk id="72" max="16383" man="1"/>
      </rowBreaks>
      <pageMargins left="0.5" right="0.5" top="1" bottom="0.5" header="0" footer="0.25"/>
      <pageSetup scale="67" orientation="landscape" r:id="rId8"/>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7" firstPageNumber="43" orientation="landscape" useFirstPageNumber="1" r:id="rId9"/>
  <headerFooter scaleWithDoc="0" alignWithMargins="0">
    <oddFooter>&amp;C&amp;8&amp;P</oddFooter>
  </headerFooter>
  <rowBreaks count="1" manualBreakCount="1">
    <brk id="72" max="16383" man="1"/>
  </rowBreaks>
  <drawing r:id="rId10"/>
</worksheet>
</file>

<file path=xl/worksheets/sheet34.xml><?xml version="1.0" encoding="utf-8"?>
<worksheet xmlns="http://schemas.openxmlformats.org/spreadsheetml/2006/main" xmlns:r="http://schemas.openxmlformats.org/officeDocument/2006/relationships">
  <sheetPr codeName="Sheet32">
    <pageSetUpPr fitToPage="1"/>
  </sheetPr>
  <dimension ref="A1:X83"/>
  <sheetViews>
    <sheetView showGridLines="0" zoomScale="80" zoomScaleNormal="70" zoomScaleSheetLayoutView="75" workbookViewId="0"/>
  </sheetViews>
  <sheetFormatPr defaultRowHeight="12.75"/>
  <cols>
    <col min="1" max="1" width="39.21875" style="1176" customWidth="1"/>
    <col min="2" max="2" width="2.109375" style="1176" customWidth="1"/>
    <col min="3" max="3" width="18" style="1176" bestFit="1" customWidth="1"/>
    <col min="4" max="4" width="2.109375" style="1176" customWidth="1"/>
    <col min="5" max="5" width="12.88671875" style="1176" bestFit="1" customWidth="1"/>
    <col min="6" max="6" width="2.109375" style="1176" customWidth="1"/>
    <col min="7" max="7" width="12.88671875" style="1176" customWidth="1"/>
    <col min="8" max="8" width="2.109375" style="1176" customWidth="1"/>
    <col min="9" max="9" width="15.5546875" style="1177" customWidth="1"/>
    <col min="10" max="10" width="2.109375" style="1176" customWidth="1"/>
    <col min="11" max="11" width="16.44140625" style="1177" bestFit="1" customWidth="1"/>
    <col min="12" max="12" width="2.109375" style="1176" customWidth="1"/>
    <col min="13" max="13" width="18.33203125" style="1774" bestFit="1" customWidth="1"/>
    <col min="14" max="14" width="1.88671875" style="1176" customWidth="1"/>
    <col min="15" max="15" width="1.33203125" style="1176" customWidth="1"/>
    <col min="16" max="16" width="2" style="1176" customWidth="1"/>
    <col min="17" max="17" width="15" style="1176" customWidth="1"/>
    <col min="18" max="18" width="2.109375" style="1176" customWidth="1"/>
    <col min="19" max="19" width="16.44140625" style="1176" bestFit="1" customWidth="1"/>
    <col min="20" max="20" width="11.77734375" style="1176" customWidth="1"/>
    <col min="21" max="21" width="12.44140625" style="1176" customWidth="1"/>
    <col min="22" max="22" width="8" style="1176" bestFit="1" customWidth="1"/>
    <col min="23" max="16384" width="8.88671875" style="1176"/>
  </cols>
  <sheetData>
    <row r="1" spans="1:23" ht="15">
      <c r="A1" s="1227" t="s">
        <v>1322</v>
      </c>
    </row>
    <row r="2" spans="1:23" ht="15">
      <c r="A2" s="1879"/>
    </row>
    <row r="3" spans="1:23" ht="18">
      <c r="A3" s="1175" t="s">
        <v>0</v>
      </c>
      <c r="S3" s="1175" t="s">
        <v>419</v>
      </c>
    </row>
    <row r="4" spans="1:23" ht="18">
      <c r="A4" s="1175" t="s">
        <v>195</v>
      </c>
      <c r="J4" s="1176" t="s">
        <v>16</v>
      </c>
    </row>
    <row r="5" spans="1:23" ht="18">
      <c r="A5" s="1175" t="s">
        <v>420</v>
      </c>
    </row>
    <row r="6" spans="1:23" ht="18">
      <c r="A6" s="1178" t="s">
        <v>1215</v>
      </c>
    </row>
    <row r="9" spans="1:23">
      <c r="D9" s="1571"/>
      <c r="E9" s="1677" t="s">
        <v>1351</v>
      </c>
      <c r="F9" s="1730"/>
      <c r="G9" s="1730"/>
      <c r="H9" s="1179"/>
      <c r="I9" s="1180" t="s">
        <v>1352</v>
      </c>
      <c r="J9" s="1731"/>
      <c r="K9" s="1731"/>
      <c r="O9" s="1181"/>
      <c r="Q9" s="1182" t="s">
        <v>1267</v>
      </c>
      <c r="R9" s="1182"/>
      <c r="S9" s="1182"/>
    </row>
    <row r="10" spans="1:23">
      <c r="C10" s="1183" t="s">
        <v>127</v>
      </c>
      <c r="E10" s="1183"/>
      <c r="F10" s="1176" t="s">
        <v>16</v>
      </c>
      <c r="G10" s="1176" t="s">
        <v>16</v>
      </c>
      <c r="I10" s="1177" t="s">
        <v>16</v>
      </c>
      <c r="J10" s="1176" t="s">
        <v>16</v>
      </c>
      <c r="K10" s="1177" t="s">
        <v>16</v>
      </c>
      <c r="M10" s="1951" t="s">
        <v>127</v>
      </c>
      <c r="O10" s="1184"/>
      <c r="Q10" s="1176" t="s">
        <v>16</v>
      </c>
      <c r="R10" s="1176" t="s">
        <v>16</v>
      </c>
      <c r="S10" s="1176" t="s">
        <v>16</v>
      </c>
    </row>
    <row r="11" spans="1:23">
      <c r="C11" s="1183" t="s">
        <v>422</v>
      </c>
      <c r="E11" s="1183" t="s">
        <v>421</v>
      </c>
      <c r="G11" s="1185" t="s">
        <v>1645</v>
      </c>
      <c r="I11" s="1183" t="s">
        <v>423</v>
      </c>
      <c r="J11" s="1176" t="s">
        <v>16</v>
      </c>
      <c r="K11" s="1183" t="str">
        <f>G11</f>
        <v>7 MONTHS ENDED</v>
      </c>
      <c r="M11" s="1951" t="s">
        <v>422</v>
      </c>
      <c r="O11" s="1184"/>
      <c r="Q11" s="1183" t="s">
        <v>423</v>
      </c>
      <c r="R11" s="1176" t="s">
        <v>16</v>
      </c>
      <c r="S11" s="1183" t="str">
        <f>K11</f>
        <v>7 MONTHS ENDED</v>
      </c>
    </row>
    <row r="12" spans="1:23">
      <c r="A12" s="1180" t="s">
        <v>424</v>
      </c>
      <c r="C12" s="1186" t="s">
        <v>1179</v>
      </c>
      <c r="E12" s="1180" t="s">
        <v>151</v>
      </c>
      <c r="G12" s="1187" t="s">
        <v>1634</v>
      </c>
      <c r="I12" s="1180" t="str">
        <f>+E12</f>
        <v>OCTOBER</v>
      </c>
      <c r="K12" s="1188" t="str">
        <f>G12</f>
        <v>OCT. 31, 2014</v>
      </c>
      <c r="M12" s="1952" t="str">
        <f>K12</f>
        <v>OCT. 31, 2014</v>
      </c>
      <c r="O12" s="1184"/>
      <c r="Q12" s="1180" t="str">
        <f>E12</f>
        <v>OCTOBER</v>
      </c>
      <c r="S12" s="1188" t="str">
        <f>K12</f>
        <v>OCT. 31, 2014</v>
      </c>
    </row>
    <row r="13" spans="1:23">
      <c r="K13" s="1189"/>
      <c r="O13" s="1184"/>
    </row>
    <row r="14" spans="1:23">
      <c r="A14" s="1190" t="s">
        <v>425</v>
      </c>
      <c r="K14" s="1189"/>
      <c r="O14" s="1184"/>
      <c r="Q14" s="1177"/>
    </row>
    <row r="15" spans="1:23">
      <c r="A15" s="1190"/>
      <c r="K15" s="1189"/>
      <c r="M15" s="1774" t="s">
        <v>16</v>
      </c>
      <c r="O15" s="1184"/>
      <c r="Q15" s="1177"/>
    </row>
    <row r="16" spans="1:23">
      <c r="A16" s="1176" t="s">
        <v>1353</v>
      </c>
      <c r="B16" s="1177"/>
      <c r="C16" s="1192">
        <v>225893326.06999999</v>
      </c>
      <c r="D16" s="1177"/>
      <c r="E16" s="1192">
        <v>0</v>
      </c>
      <c r="F16" s="1988"/>
      <c r="G16" s="1192">
        <v>0</v>
      </c>
      <c r="H16" s="1177"/>
      <c r="I16" s="1989">
        <v>0</v>
      </c>
      <c r="J16" s="1177"/>
      <c r="K16" s="1192">
        <v>67197443.629999995</v>
      </c>
      <c r="L16" s="1177"/>
      <c r="M16" s="1776">
        <f>ROUND(SUM(C16)-SUM(K16)+SUM(G16),2)</f>
        <v>158695882.44</v>
      </c>
      <c r="N16" s="1210"/>
      <c r="O16" s="1990"/>
      <c r="P16" s="1177"/>
      <c r="Q16" s="1776">
        <v>2806662.48</v>
      </c>
      <c r="R16" s="1678"/>
      <c r="S16" s="1776">
        <v>8210258.75</v>
      </c>
      <c r="T16" s="1193"/>
      <c r="U16" s="1679"/>
      <c r="V16" s="1680"/>
      <c r="W16" s="1531"/>
    </row>
    <row r="17" spans="1:23" ht="12" customHeight="1">
      <c r="C17" s="1528"/>
      <c r="D17" s="1210"/>
      <c r="E17" s="1988"/>
      <c r="F17" s="1988"/>
      <c r="G17" s="1988"/>
      <c r="H17" s="1210"/>
      <c r="I17" s="1195"/>
      <c r="J17" s="1210"/>
      <c r="K17" s="1189"/>
      <c r="L17" s="1210"/>
      <c r="M17" s="1775"/>
      <c r="N17" s="1210"/>
      <c r="O17" s="1990"/>
      <c r="P17" s="1210"/>
      <c r="Q17" s="1195"/>
      <c r="R17" s="1991"/>
      <c r="S17" s="1528"/>
      <c r="U17" s="1195"/>
      <c r="V17" s="1530"/>
      <c r="W17" s="1531"/>
    </row>
    <row r="18" spans="1:23">
      <c r="A18" s="1176" t="s">
        <v>426</v>
      </c>
      <c r="C18" s="1528"/>
      <c r="D18" s="1210"/>
      <c r="E18" s="1988"/>
      <c r="F18" s="1988"/>
      <c r="G18" s="1988"/>
      <c r="H18" s="1210"/>
      <c r="J18" s="1177"/>
      <c r="K18" s="1189" t="s">
        <v>16</v>
      </c>
      <c r="L18" s="1210"/>
      <c r="M18" s="1775"/>
      <c r="N18" s="1210"/>
      <c r="O18" s="1990"/>
      <c r="P18" s="1210"/>
      <c r="Q18" s="1195"/>
      <c r="R18" s="1991"/>
      <c r="S18" s="1528"/>
      <c r="U18" s="1530"/>
      <c r="V18" s="1530"/>
      <c r="W18" s="1193"/>
    </row>
    <row r="19" spans="1:23">
      <c r="A19" s="1176" t="s">
        <v>1354</v>
      </c>
      <c r="C19" s="1196">
        <v>20167909.829999998</v>
      </c>
      <c r="D19" s="1210"/>
      <c r="E19" s="1988">
        <v>0</v>
      </c>
      <c r="F19" s="1988"/>
      <c r="G19" s="1988">
        <v>0</v>
      </c>
      <c r="H19" s="1210"/>
      <c r="I19" s="1732">
        <v>0</v>
      </c>
      <c r="J19" s="1177"/>
      <c r="K19" s="1199">
        <v>5144186.95</v>
      </c>
      <c r="L19" s="1177" t="s">
        <v>16</v>
      </c>
      <c r="M19" s="1196">
        <f>ROUND(SUM(C19)-SUM(K19)+SUM(G19),2)</f>
        <v>15023722.880000001</v>
      </c>
      <c r="N19" s="1210"/>
      <c r="O19" s="1990"/>
      <c r="P19" s="1210" t="s">
        <v>16</v>
      </c>
      <c r="Q19" s="1775">
        <v>55013.53</v>
      </c>
      <c r="R19" s="1678"/>
      <c r="S19" s="1197">
        <v>447604.75</v>
      </c>
      <c r="T19" s="1193"/>
      <c r="U19" s="1679"/>
      <c r="V19" s="1530"/>
      <c r="W19" s="1531"/>
    </row>
    <row r="20" spans="1:23">
      <c r="A20" s="1176" t="s">
        <v>427</v>
      </c>
      <c r="C20" s="1196">
        <v>7931.55</v>
      </c>
      <c r="D20" s="1210"/>
      <c r="E20" s="1988">
        <v>0</v>
      </c>
      <c r="F20" s="1988"/>
      <c r="G20" s="1988">
        <v>0</v>
      </c>
      <c r="H20" s="1210"/>
      <c r="I20" s="1988">
        <v>0</v>
      </c>
      <c r="J20" s="1206"/>
      <c r="K20" s="1732">
        <v>0</v>
      </c>
      <c r="L20" s="1210"/>
      <c r="M20" s="1196">
        <f>ROUND(SUM(C20)-SUM(K20)+SUM(G20),2)</f>
        <v>7931.55</v>
      </c>
      <c r="N20" s="1210"/>
      <c r="O20" s="1990"/>
      <c r="P20" s="1210"/>
      <c r="Q20" s="1775">
        <v>0</v>
      </c>
      <c r="R20" s="1177"/>
      <c r="S20" s="1733">
        <v>188.37</v>
      </c>
      <c r="T20" s="1193"/>
      <c r="U20" s="1679"/>
      <c r="V20" s="1530"/>
      <c r="W20" s="1531"/>
    </row>
    <row r="21" spans="1:23" ht="12" customHeight="1">
      <c r="A21" s="1176" t="s">
        <v>428</v>
      </c>
      <c r="C21" s="1196">
        <v>437734140.86000001</v>
      </c>
      <c r="D21" s="1210"/>
      <c r="E21" s="1988">
        <v>0</v>
      </c>
      <c r="F21" s="1988"/>
      <c r="G21" s="1988">
        <v>0</v>
      </c>
      <c r="H21" s="1210"/>
      <c r="I21" s="1733">
        <v>0</v>
      </c>
      <c r="J21" s="1177"/>
      <c r="K21" s="1199">
        <v>6785288.7000000002</v>
      </c>
      <c r="L21" s="1210"/>
      <c r="M21" s="1196">
        <f>ROUND(SUM(C21)-SUM(K21)+SUM(G21),2)</f>
        <v>430948852.16000003</v>
      </c>
      <c r="N21" s="1210"/>
      <c r="O21" s="1990"/>
      <c r="P21" s="1210"/>
      <c r="Q21" s="1775">
        <v>1791362.26</v>
      </c>
      <c r="R21" s="1177"/>
      <c r="S21" s="1197">
        <v>10139819.34</v>
      </c>
      <c r="T21" s="1193"/>
      <c r="U21" s="1679"/>
      <c r="V21" s="1530"/>
      <c r="W21" s="1531"/>
    </row>
    <row r="22" spans="1:23">
      <c r="A22" s="1176" t="s">
        <v>429</v>
      </c>
      <c r="C22" s="1196">
        <v>49084177.039999999</v>
      </c>
      <c r="D22" s="1210"/>
      <c r="E22" s="1988">
        <v>0</v>
      </c>
      <c r="F22" s="1988"/>
      <c r="G22" s="1988">
        <v>0</v>
      </c>
      <c r="H22" s="1210"/>
      <c r="I22" s="1733">
        <v>0</v>
      </c>
      <c r="J22" s="1210"/>
      <c r="K22" s="1199">
        <v>1548279.94</v>
      </c>
      <c r="L22" s="1210"/>
      <c r="M22" s="1196">
        <f>ROUND(SUM(C22)-SUM(K22)+SUM(G22),2)</f>
        <v>47535897.100000001</v>
      </c>
      <c r="N22" s="1210"/>
      <c r="O22" s="1990"/>
      <c r="P22" s="1210"/>
      <c r="Q22" s="1775">
        <v>286304.21000000002</v>
      </c>
      <c r="R22" s="1177"/>
      <c r="S22" s="1197">
        <v>836414.25</v>
      </c>
      <c r="T22" s="1193"/>
      <c r="U22" s="1679"/>
      <c r="V22" s="1530"/>
      <c r="W22" s="1531"/>
    </row>
    <row r="23" spans="1:23">
      <c r="A23" s="1176" t="s">
        <v>1355</v>
      </c>
      <c r="C23" s="1196">
        <v>81538241.150000006</v>
      </c>
      <c r="D23" s="1210"/>
      <c r="E23" s="1988">
        <v>0</v>
      </c>
      <c r="F23" s="1988"/>
      <c r="G23" s="1988">
        <v>0</v>
      </c>
      <c r="H23" s="1210"/>
      <c r="I23" s="1732">
        <v>0</v>
      </c>
      <c r="J23" s="1206"/>
      <c r="K23" s="1199">
        <v>158118.10999999999</v>
      </c>
      <c r="L23" s="1210"/>
      <c r="M23" s="1196">
        <f>ROUND(SUM(C23)-SUM(K23)+SUM(G23),2)</f>
        <v>81380123.040000007</v>
      </c>
      <c r="N23" s="1210"/>
      <c r="O23" s="1990"/>
      <c r="P23" s="1210"/>
      <c r="Q23" s="1775">
        <v>33475.730000000003</v>
      </c>
      <c r="R23" s="1177"/>
      <c r="S23" s="1197">
        <v>1711290.75</v>
      </c>
      <c r="T23" s="1193"/>
      <c r="U23" s="1679"/>
      <c r="V23" s="1530"/>
      <c r="W23" s="1531"/>
    </row>
    <row r="24" spans="1:23" ht="15">
      <c r="C24" s="1775"/>
      <c r="D24" s="1210"/>
      <c r="E24" s="1988"/>
      <c r="F24" s="1988"/>
      <c r="G24" s="1988"/>
      <c r="H24" s="1210"/>
      <c r="I24" s="1195"/>
      <c r="J24" s="1210"/>
      <c r="K24" s="1189"/>
      <c r="L24" s="1210"/>
      <c r="M24" s="1775"/>
      <c r="N24" s="1210"/>
      <c r="O24" s="1990"/>
      <c r="P24" s="1210"/>
      <c r="Q24" s="1775"/>
      <c r="R24" s="1210"/>
      <c r="S24" s="1746"/>
      <c r="U24" s="1195"/>
      <c r="V24" s="1530"/>
      <c r="W24" s="1531"/>
    </row>
    <row r="25" spans="1:23" ht="15">
      <c r="A25" s="1176" t="s">
        <v>1216</v>
      </c>
      <c r="C25" s="1775"/>
      <c r="D25" s="1210"/>
      <c r="E25" s="1988"/>
      <c r="F25" s="1988"/>
      <c r="G25" s="1988"/>
      <c r="H25" s="1210"/>
      <c r="I25" s="1195"/>
      <c r="J25" s="1210"/>
      <c r="K25" s="1189"/>
      <c r="L25" s="1210"/>
      <c r="M25" s="1775"/>
      <c r="N25" s="1210"/>
      <c r="O25" s="1990"/>
      <c r="P25" s="1210"/>
      <c r="Q25" s="1775"/>
      <c r="R25" s="1210"/>
      <c r="S25" s="1746"/>
      <c r="U25" s="1530"/>
      <c r="V25" s="1530"/>
      <c r="W25" s="1193"/>
    </row>
    <row r="26" spans="1:23">
      <c r="A26" s="1176" t="s">
        <v>1386</v>
      </c>
      <c r="C26" s="1196">
        <v>6682382.4800000004</v>
      </c>
      <c r="D26" s="1210"/>
      <c r="E26" s="1988">
        <v>0</v>
      </c>
      <c r="F26" s="1988"/>
      <c r="G26" s="1988">
        <v>0</v>
      </c>
      <c r="H26" s="1210"/>
      <c r="I26" s="1988">
        <v>0</v>
      </c>
      <c r="J26" s="1177"/>
      <c r="K26" s="1199">
        <v>1174582.5</v>
      </c>
      <c r="L26" s="1210"/>
      <c r="M26" s="1196">
        <f>ROUND(SUM(C26)-SUM(K26)+SUM(G26),2)</f>
        <v>5507799.9800000004</v>
      </c>
      <c r="N26" s="1210"/>
      <c r="O26" s="1990"/>
      <c r="P26" s="1210"/>
      <c r="Q26" s="1196">
        <v>97798.41</v>
      </c>
      <c r="R26" s="1177"/>
      <c r="S26" s="1197">
        <v>247324.54</v>
      </c>
      <c r="T26" s="1193"/>
      <c r="U26" s="1195"/>
      <c r="V26" s="1530"/>
      <c r="W26" s="1531"/>
    </row>
    <row r="27" spans="1:23" ht="15">
      <c r="C27" s="1775"/>
      <c r="D27" s="1210"/>
      <c r="E27" s="1988"/>
      <c r="F27" s="1988"/>
      <c r="G27" s="1988"/>
      <c r="H27" s="1210"/>
      <c r="I27" s="1195"/>
      <c r="J27" s="1210"/>
      <c r="K27" s="1189"/>
      <c r="L27" s="1210"/>
      <c r="M27" s="1775"/>
      <c r="N27" s="1210"/>
      <c r="O27" s="1990"/>
      <c r="P27" s="1210"/>
      <c r="Q27" s="1775"/>
      <c r="R27" s="1210"/>
      <c r="S27" s="1746"/>
      <c r="U27" s="1195"/>
      <c r="V27" s="1530"/>
      <c r="W27" s="1531"/>
    </row>
    <row r="28" spans="1:23" ht="15">
      <c r="A28" s="1176" t="s">
        <v>430</v>
      </c>
      <c r="C28" s="1775"/>
      <c r="D28" s="1210"/>
      <c r="E28" s="1988"/>
      <c r="F28" s="1988"/>
      <c r="G28" s="1988"/>
      <c r="H28" s="1210"/>
      <c r="I28" s="1195"/>
      <c r="J28" s="1210"/>
      <c r="K28" s="1189"/>
      <c r="L28" s="1210"/>
      <c r="M28" s="1775"/>
      <c r="N28" s="1210"/>
      <c r="O28" s="1990"/>
      <c r="P28" s="1210"/>
      <c r="Q28" s="1775"/>
      <c r="R28" s="1210"/>
      <c r="S28" s="1746"/>
      <c r="U28" s="1530"/>
      <c r="V28" s="1530"/>
    </row>
    <row r="29" spans="1:23">
      <c r="A29" s="1176" t="s">
        <v>431</v>
      </c>
      <c r="C29" s="1196">
        <v>4783793.96</v>
      </c>
      <c r="D29" s="1210"/>
      <c r="E29" s="1988">
        <v>0</v>
      </c>
      <c r="F29" s="1988"/>
      <c r="G29" s="1988">
        <v>0</v>
      </c>
      <c r="H29" s="1210"/>
      <c r="I29" s="1733">
        <v>0</v>
      </c>
      <c r="J29" s="1177"/>
      <c r="K29" s="1196">
        <v>1762353.86</v>
      </c>
      <c r="L29" s="1210"/>
      <c r="M29" s="1196">
        <f>ROUND(SUM(C29)-SUM(K29)+SUM(G29),2)</f>
        <v>3021440.1</v>
      </c>
      <c r="N29" s="1210"/>
      <c r="O29" s="1990"/>
      <c r="P29" s="1210"/>
      <c r="Q29" s="1196">
        <v>74222.350000000006</v>
      </c>
      <c r="R29" s="1177"/>
      <c r="S29" s="1197">
        <v>193320.07</v>
      </c>
      <c r="T29" s="1193"/>
      <c r="U29" s="1679"/>
      <c r="V29" s="1530"/>
      <c r="W29" s="1531"/>
    </row>
    <row r="30" spans="1:23">
      <c r="A30" s="1176" t="s">
        <v>1356</v>
      </c>
      <c r="C30" s="1196">
        <v>11542293.880000001</v>
      </c>
      <c r="D30" s="1210"/>
      <c r="E30" s="1988">
        <v>0</v>
      </c>
      <c r="F30" s="1988"/>
      <c r="G30" s="1988">
        <v>0</v>
      </c>
      <c r="H30" s="1210"/>
      <c r="I30" s="1733">
        <v>0</v>
      </c>
      <c r="J30" s="1177"/>
      <c r="K30" s="1196">
        <v>2812558.86</v>
      </c>
      <c r="L30" s="1210"/>
      <c r="M30" s="1196">
        <f>ROUND(SUM(C30)-SUM(K30)+SUM(G30),2)</f>
        <v>8729735.0199999996</v>
      </c>
      <c r="N30" s="1210"/>
      <c r="O30" s="1990"/>
      <c r="P30" s="1210"/>
      <c r="Q30" s="1196">
        <v>140080.78</v>
      </c>
      <c r="R30" s="1177"/>
      <c r="S30" s="1197">
        <v>420215.93999999994</v>
      </c>
      <c r="T30" s="1193"/>
      <c r="U30" s="1679"/>
      <c r="V30" s="1530"/>
      <c r="W30" s="1531"/>
    </row>
    <row r="31" spans="1:23">
      <c r="A31" s="1176" t="s">
        <v>432</v>
      </c>
      <c r="C31" s="1196">
        <v>49301767.159999996</v>
      </c>
      <c r="D31" s="1210"/>
      <c r="E31" s="1988">
        <v>0</v>
      </c>
      <c r="F31" s="1988"/>
      <c r="G31" s="1988">
        <v>0</v>
      </c>
      <c r="H31" s="1210"/>
      <c r="I31" s="1733">
        <v>0</v>
      </c>
      <c r="J31" s="1177"/>
      <c r="K31" s="1196">
        <v>8207614.4299999997</v>
      </c>
      <c r="L31" s="1210"/>
      <c r="M31" s="1196">
        <f>ROUND(SUM(C31)-SUM(K31)+SUM(G31),2)</f>
        <v>41094152.729999997</v>
      </c>
      <c r="N31" s="1210"/>
      <c r="O31" s="1990"/>
      <c r="P31" s="1210"/>
      <c r="Q31" s="1196">
        <v>526418.88</v>
      </c>
      <c r="R31" s="1177"/>
      <c r="S31" s="1197">
        <v>1539588.7</v>
      </c>
      <c r="T31" s="1193"/>
      <c r="U31" s="1679"/>
      <c r="V31" s="1530"/>
      <c r="W31" s="1531"/>
    </row>
    <row r="32" spans="1:23" ht="15">
      <c r="C32" s="1775"/>
      <c r="D32" s="1210"/>
      <c r="E32" s="1988"/>
      <c r="F32" s="1988"/>
      <c r="G32" s="1988"/>
      <c r="H32" s="1210"/>
      <c r="I32" s="1195"/>
      <c r="J32" s="1210"/>
      <c r="K32" s="1189"/>
      <c r="L32" s="1210"/>
      <c r="M32" s="1775"/>
      <c r="N32" s="1210"/>
      <c r="O32" s="1990"/>
      <c r="P32" s="1210"/>
      <c r="Q32" s="1775"/>
      <c r="R32" s="1210"/>
      <c r="S32" s="1746"/>
      <c r="U32" s="1195"/>
      <c r="V32" s="1530"/>
      <c r="W32" s="1531"/>
    </row>
    <row r="33" spans="1:24" ht="15">
      <c r="A33" s="1176" t="s">
        <v>433</v>
      </c>
      <c r="C33" s="1775"/>
      <c r="D33" s="1210"/>
      <c r="E33" s="1988"/>
      <c r="F33" s="1988"/>
      <c r="G33" s="1988"/>
      <c r="H33" s="1210"/>
      <c r="I33" s="1195"/>
      <c r="J33" s="1210"/>
      <c r="K33" s="1189"/>
      <c r="L33" s="1210"/>
      <c r="M33" s="1775"/>
      <c r="N33" s="1210"/>
      <c r="O33" s="1990"/>
      <c r="P33" s="1210"/>
      <c r="Q33" s="1775"/>
      <c r="R33" s="1210"/>
      <c r="S33" s="1746"/>
      <c r="U33" s="1530"/>
      <c r="V33" s="1530"/>
      <c r="W33" s="1193"/>
    </row>
    <row r="34" spans="1:24">
      <c r="A34" s="1176" t="s">
        <v>1387</v>
      </c>
      <c r="C34" s="1196">
        <v>22142201.719999999</v>
      </c>
      <c r="D34" s="1210"/>
      <c r="E34" s="1988">
        <v>0</v>
      </c>
      <c r="F34" s="1988"/>
      <c r="G34" s="1988">
        <v>0</v>
      </c>
      <c r="H34" s="1210"/>
      <c r="I34" s="1733">
        <v>0</v>
      </c>
      <c r="J34" s="1177"/>
      <c r="K34" s="1196">
        <v>1766929.79</v>
      </c>
      <c r="L34" s="1210"/>
      <c r="M34" s="1196">
        <f>ROUND(SUM(C34)-SUM(K34)+SUM(G34),2)</f>
        <v>20375271.93</v>
      </c>
      <c r="N34" s="1210"/>
      <c r="O34" s="1990"/>
      <c r="P34" s="1210"/>
      <c r="Q34" s="1196">
        <v>207434.58</v>
      </c>
      <c r="R34" s="1177"/>
      <c r="S34" s="1197">
        <v>597497.78</v>
      </c>
      <c r="T34" s="1193"/>
      <c r="U34" s="1679"/>
      <c r="V34" s="1530"/>
      <c r="W34" s="1531"/>
    </row>
    <row r="35" spans="1:24" ht="14.25">
      <c r="A35" s="1176" t="s">
        <v>434</v>
      </c>
      <c r="C35" s="1196">
        <v>272933488.67000002</v>
      </c>
      <c r="D35" s="1210"/>
      <c r="E35" s="1988">
        <v>0</v>
      </c>
      <c r="F35" s="1988"/>
      <c r="G35" s="1988">
        <v>0</v>
      </c>
      <c r="H35" s="1210"/>
      <c r="I35" s="1733">
        <v>0</v>
      </c>
      <c r="J35" s="1177"/>
      <c r="K35" s="1196">
        <v>13952012.84</v>
      </c>
      <c r="L35" s="1210"/>
      <c r="M35" s="1196">
        <f>ROUND(SUM(C35)-SUM(K35)+SUM(G35),2)</f>
        <v>258981475.83000001</v>
      </c>
      <c r="N35" s="1210"/>
      <c r="O35" s="1990"/>
      <c r="P35" s="1210"/>
      <c r="Q35" s="1196">
        <v>830286.85</v>
      </c>
      <c r="R35" s="1992" t="s">
        <v>16</v>
      </c>
      <c r="S35" s="1197">
        <v>6236186.0099999998</v>
      </c>
      <c r="T35" s="1193"/>
      <c r="U35" s="1679"/>
      <c r="V35" s="1530"/>
      <c r="W35" s="1531"/>
      <c r="X35" s="1193"/>
    </row>
    <row r="36" spans="1:24" ht="15">
      <c r="C36" s="1775"/>
      <c r="D36" s="1210"/>
      <c r="E36" s="1988"/>
      <c r="F36" s="1988"/>
      <c r="G36" s="1988"/>
      <c r="H36" s="1210"/>
      <c r="I36" s="1195"/>
      <c r="J36" s="1210"/>
      <c r="K36" s="1189"/>
      <c r="L36" s="1210"/>
      <c r="M36" s="1775"/>
      <c r="N36" s="1210"/>
      <c r="O36" s="1990"/>
      <c r="P36" s="1210"/>
      <c r="Q36" s="1775"/>
      <c r="R36" s="1210"/>
      <c r="S36" s="1746"/>
      <c r="U36" s="1195"/>
      <c r="V36" s="1530"/>
      <c r="W36" s="1531"/>
    </row>
    <row r="37" spans="1:24" ht="15">
      <c r="A37" s="1176" t="s">
        <v>435</v>
      </c>
      <c r="C37" s="1775"/>
      <c r="D37" s="1210"/>
      <c r="E37" s="1733"/>
      <c r="F37" s="1733"/>
      <c r="G37" s="1733"/>
      <c r="H37" s="1210"/>
      <c r="I37" s="1198"/>
      <c r="J37" s="1210"/>
      <c r="K37" s="1189"/>
      <c r="L37" s="1210"/>
      <c r="M37" s="1775"/>
      <c r="N37" s="1210"/>
      <c r="O37" s="1990"/>
      <c r="P37" s="1210"/>
      <c r="Q37" s="1196"/>
      <c r="R37" s="1210"/>
      <c r="S37" s="1746"/>
      <c r="U37" s="1195"/>
      <c r="V37" s="1530"/>
      <c r="W37" s="1193"/>
    </row>
    <row r="38" spans="1:24">
      <c r="A38" s="1176" t="s">
        <v>436</v>
      </c>
      <c r="C38" s="1196">
        <v>23660000</v>
      </c>
      <c r="D38" s="1210"/>
      <c r="E38" s="1988">
        <v>0</v>
      </c>
      <c r="F38" s="1988"/>
      <c r="G38" s="1988">
        <v>0</v>
      </c>
      <c r="H38" s="1210"/>
      <c r="I38" s="1733">
        <v>1060000</v>
      </c>
      <c r="J38" s="1529"/>
      <c r="K38" s="1196">
        <v>3770000</v>
      </c>
      <c r="L38" s="1210"/>
      <c r="M38" s="1196">
        <f>ROUND(SUM(C38)-SUM(K38)+SUM(G38),2)</f>
        <v>19890000</v>
      </c>
      <c r="N38" s="1210"/>
      <c r="O38" s="1990"/>
      <c r="P38" s="1210"/>
      <c r="Q38" s="1196">
        <v>297900</v>
      </c>
      <c r="R38" s="1210"/>
      <c r="S38" s="1197">
        <v>667500</v>
      </c>
      <c r="T38" s="1193"/>
      <c r="U38" s="1681"/>
      <c r="V38" s="1530"/>
      <c r="W38" s="1531"/>
    </row>
    <row r="39" spans="1:24">
      <c r="A39" s="1176" t="s">
        <v>1357</v>
      </c>
      <c r="C39" s="1196">
        <v>22025000</v>
      </c>
      <c r="D39" s="1210"/>
      <c r="E39" s="1988">
        <v>0</v>
      </c>
      <c r="F39" s="1988"/>
      <c r="G39" s="1988">
        <v>0</v>
      </c>
      <c r="H39" s="1210"/>
      <c r="I39" s="1732">
        <v>0</v>
      </c>
      <c r="J39" s="1194"/>
      <c r="K39" s="1733">
        <v>4740000</v>
      </c>
      <c r="L39" s="1210"/>
      <c r="M39" s="1196">
        <f>ROUND(SUM(C39)-SUM(K39)+SUM(G39),2)</f>
        <v>17285000</v>
      </c>
      <c r="N39" s="1210"/>
      <c r="O39" s="1990"/>
      <c r="P39" s="1210"/>
      <c r="Q39" s="1199">
        <v>0</v>
      </c>
      <c r="R39" s="1177"/>
      <c r="S39" s="1733">
        <v>308075</v>
      </c>
      <c r="T39" s="1193"/>
      <c r="U39" s="1681"/>
      <c r="V39" s="1530"/>
      <c r="W39" s="1531"/>
    </row>
    <row r="40" spans="1:24">
      <c r="C40" s="1775"/>
      <c r="D40" s="1210"/>
      <c r="E40" s="1988"/>
      <c r="F40" s="1988"/>
      <c r="G40" s="1988"/>
      <c r="H40" s="1210"/>
      <c r="I40" s="1198"/>
      <c r="J40" s="1533"/>
      <c r="K40" s="1682"/>
      <c r="L40" s="1210"/>
      <c r="M40" s="1775"/>
      <c r="N40" s="1210"/>
      <c r="O40" s="1990"/>
      <c r="P40" s="1210"/>
      <c r="Q40" s="1198"/>
      <c r="R40" s="1210"/>
      <c r="S40" s="1683"/>
      <c r="U40" s="1195"/>
      <c r="V40" s="1530"/>
      <c r="W40" s="1531"/>
    </row>
    <row r="41" spans="1:24">
      <c r="A41" s="1176" t="s">
        <v>1358</v>
      </c>
      <c r="C41" s="1196">
        <v>12074.28</v>
      </c>
      <c r="D41" s="1210"/>
      <c r="E41" s="1732">
        <v>0</v>
      </c>
      <c r="F41" s="1732"/>
      <c r="G41" s="1732">
        <v>0</v>
      </c>
      <c r="H41" s="1210"/>
      <c r="I41" s="1732">
        <v>0</v>
      </c>
      <c r="J41" s="1194"/>
      <c r="K41" s="1733">
        <v>0</v>
      </c>
      <c r="L41" s="1210"/>
      <c r="M41" s="1196">
        <f>ROUND(SUM(C41)-SUM(K41)+SUM(G41),2)</f>
        <v>12074.28</v>
      </c>
      <c r="N41" s="1210"/>
      <c r="O41" s="1990"/>
      <c r="P41" s="1210"/>
      <c r="Q41" s="1199">
        <v>0</v>
      </c>
      <c r="R41" s="1177"/>
      <c r="S41" s="1733">
        <v>241.49</v>
      </c>
      <c r="T41" s="1193"/>
      <c r="U41" s="1679"/>
      <c r="V41" s="1530"/>
      <c r="W41" s="1531"/>
    </row>
    <row r="42" spans="1:24">
      <c r="C42" s="1196"/>
      <c r="D42" s="1210"/>
      <c r="E42" s="1733"/>
      <c r="F42" s="1733"/>
      <c r="G42" s="1733"/>
      <c r="H42" s="1210"/>
      <c r="I42" s="1198"/>
      <c r="J42" s="1210"/>
      <c r="K42" s="1189"/>
      <c r="L42" s="1210"/>
      <c r="M42" s="1775"/>
      <c r="N42" s="1210"/>
      <c r="O42" s="1990"/>
      <c r="P42" s="1210"/>
      <c r="Q42" s="1198"/>
      <c r="R42" s="1210"/>
      <c r="S42" s="1206"/>
      <c r="U42" s="1195"/>
      <c r="V42" s="1530"/>
      <c r="W42" s="1531"/>
    </row>
    <row r="43" spans="1:24" ht="15">
      <c r="A43" s="1176" t="s">
        <v>437</v>
      </c>
      <c r="C43" s="1196">
        <v>46037669.840000004</v>
      </c>
      <c r="D43" s="1210"/>
      <c r="E43" s="1732">
        <v>0</v>
      </c>
      <c r="F43" s="1732"/>
      <c r="G43" s="1732">
        <v>0</v>
      </c>
      <c r="H43" s="1210"/>
      <c r="I43" s="1733">
        <v>0</v>
      </c>
      <c r="J43" s="1177"/>
      <c r="K43" s="1196">
        <v>5867808.9299999997</v>
      </c>
      <c r="L43" s="1210"/>
      <c r="M43" s="1196">
        <f>ROUND(SUM(C43)-SUM(K43)+SUM(G43),2)</f>
        <v>40169860.909999996</v>
      </c>
      <c r="N43" s="1210"/>
      <c r="O43" s="1990"/>
      <c r="P43" s="1210"/>
      <c r="Q43" s="1196">
        <v>429418.31</v>
      </c>
      <c r="R43" s="1734"/>
      <c r="S43" s="1196">
        <v>1399042.76</v>
      </c>
      <c r="T43" s="1193"/>
      <c r="U43" s="1679"/>
      <c r="V43" s="1530"/>
      <c r="W43" s="1531"/>
    </row>
    <row r="44" spans="1:24" ht="15">
      <c r="C44" s="1196"/>
      <c r="D44" s="1210"/>
      <c r="E44" s="1733"/>
      <c r="F44" s="1733"/>
      <c r="G44" s="1733"/>
      <c r="H44" s="1210"/>
      <c r="I44" s="1683"/>
      <c r="J44" s="1210"/>
      <c r="K44" s="1189"/>
      <c r="L44" s="1210"/>
      <c r="M44" s="1775"/>
      <c r="N44" s="1210"/>
      <c r="O44" s="1990"/>
      <c r="P44" s="1210"/>
      <c r="Q44" s="1775"/>
      <c r="R44" s="1746"/>
      <c r="S44" s="1746"/>
      <c r="U44" s="1195"/>
      <c r="V44" s="1530"/>
      <c r="W44" s="1531"/>
    </row>
    <row r="45" spans="1:24" ht="15">
      <c r="A45" s="1176" t="s">
        <v>438</v>
      </c>
      <c r="C45" s="1196">
        <v>1143996.32</v>
      </c>
      <c r="D45" s="1210"/>
      <c r="E45" s="1732">
        <v>0</v>
      </c>
      <c r="F45" s="1732"/>
      <c r="G45" s="1732">
        <v>0</v>
      </c>
      <c r="H45" s="1210"/>
      <c r="I45" s="1988">
        <v>0</v>
      </c>
      <c r="J45" s="1177"/>
      <c r="K45" s="1196">
        <v>396834.19</v>
      </c>
      <c r="L45" s="1210"/>
      <c r="M45" s="1196">
        <f>ROUND(SUM(C45)-SUM(K45)+SUM(G45),2)</f>
        <v>747162.13</v>
      </c>
      <c r="N45" s="1210"/>
      <c r="O45" s="1990"/>
      <c r="P45" s="1210"/>
      <c r="Q45" s="1196">
        <v>15881.48</v>
      </c>
      <c r="R45" s="1734"/>
      <c r="S45" s="1196">
        <v>43153.020000000004</v>
      </c>
      <c r="T45" s="1193"/>
      <c r="U45" s="1679"/>
      <c r="V45" s="1530"/>
      <c r="W45" s="1531"/>
    </row>
    <row r="46" spans="1:24" ht="15">
      <c r="C46" s="1196"/>
      <c r="D46" s="1210"/>
      <c r="E46" s="1988"/>
      <c r="F46" s="1988"/>
      <c r="G46" s="1988"/>
      <c r="H46" s="1210"/>
      <c r="I46" s="1195"/>
      <c r="J46" s="1210"/>
      <c r="K46" s="1189"/>
      <c r="L46" s="1210"/>
      <c r="M46" s="1775"/>
      <c r="N46" s="1210"/>
      <c r="O46" s="1990"/>
      <c r="P46" s="1210"/>
      <c r="Q46" s="1775"/>
      <c r="R46" s="1746"/>
      <c r="S46" s="1746"/>
      <c r="U46" s="1195"/>
      <c r="V46" s="1530"/>
      <c r="W46" s="1531"/>
    </row>
    <row r="47" spans="1:24" ht="15">
      <c r="A47" s="1176" t="s">
        <v>439</v>
      </c>
      <c r="C47" s="1197"/>
      <c r="D47" s="1210"/>
      <c r="E47" s="1733"/>
      <c r="F47" s="1733"/>
      <c r="G47" s="1733"/>
      <c r="H47" s="1210"/>
      <c r="I47" s="1198"/>
      <c r="J47" s="1533"/>
      <c r="K47" s="1189"/>
      <c r="L47" s="1210"/>
      <c r="M47" s="1775"/>
      <c r="N47" s="1210"/>
      <c r="O47" s="1990"/>
      <c r="P47" s="1210"/>
      <c r="Q47" s="1775"/>
      <c r="R47" s="1746"/>
      <c r="S47" s="1746"/>
      <c r="U47" s="1195"/>
      <c r="V47" s="1530"/>
      <c r="W47" s="1531"/>
    </row>
    <row r="48" spans="1:24" ht="15">
      <c r="A48" s="1176" t="s">
        <v>440</v>
      </c>
      <c r="C48" s="1197">
        <v>826297781.46000004</v>
      </c>
      <c r="D48" s="1210"/>
      <c r="E48" s="1988">
        <v>0</v>
      </c>
      <c r="F48" s="1988"/>
      <c r="G48" s="1988">
        <v>0</v>
      </c>
      <c r="H48" s="1210"/>
      <c r="I48" s="1732">
        <v>0</v>
      </c>
      <c r="J48" s="1206"/>
      <c r="K48" s="1733">
        <v>0</v>
      </c>
      <c r="L48" s="1210"/>
      <c r="M48" s="1196">
        <f t="shared" ref="M48:M53" si="0">ROUND(SUM(C48)-SUM(K48)+SUM(G48),2)</f>
        <v>826297781.46000004</v>
      </c>
      <c r="N48" s="1210"/>
      <c r="O48" s="1990"/>
      <c r="P48" s="1210"/>
      <c r="Q48" s="1199">
        <v>0</v>
      </c>
      <c r="R48" s="1746"/>
      <c r="S48" s="1733">
        <v>18392976.09</v>
      </c>
      <c r="T48" s="1200"/>
      <c r="U48" s="1195"/>
      <c r="V48" s="1530"/>
      <c r="W48" s="1531"/>
    </row>
    <row r="49" spans="1:23" ht="15">
      <c r="A49" s="1176" t="s">
        <v>441</v>
      </c>
      <c r="C49" s="1197">
        <v>13426360.83</v>
      </c>
      <c r="D49" s="1179"/>
      <c r="E49" s="1988">
        <v>0</v>
      </c>
      <c r="F49" s="1988"/>
      <c r="G49" s="1988">
        <v>0</v>
      </c>
      <c r="H49" s="1210"/>
      <c r="I49" s="1988">
        <v>0</v>
      </c>
      <c r="J49" s="1206"/>
      <c r="K49" s="1733">
        <v>0</v>
      </c>
      <c r="L49" s="1210"/>
      <c r="M49" s="1196">
        <f t="shared" si="0"/>
        <v>13426360.83</v>
      </c>
      <c r="N49" s="1210"/>
      <c r="O49" s="1990"/>
      <c r="P49" s="1210"/>
      <c r="Q49" s="1775">
        <v>0</v>
      </c>
      <c r="R49" s="1746"/>
      <c r="S49" s="1733">
        <v>294856.31</v>
      </c>
      <c r="T49" s="1200"/>
      <c r="U49" s="1195"/>
      <c r="V49" s="1530"/>
      <c r="W49" s="1531"/>
    </row>
    <row r="50" spans="1:23" ht="15">
      <c r="A50" s="1176" t="s">
        <v>442</v>
      </c>
      <c r="C50" s="1197">
        <v>53727834.170000002</v>
      </c>
      <c r="D50" s="1179"/>
      <c r="E50" s="1988">
        <v>0</v>
      </c>
      <c r="F50" s="1988"/>
      <c r="G50" s="1988">
        <v>0</v>
      </c>
      <c r="H50" s="1210"/>
      <c r="I50" s="1988">
        <v>0</v>
      </c>
      <c r="J50" s="1206"/>
      <c r="K50" s="1733">
        <v>0</v>
      </c>
      <c r="L50" s="1210"/>
      <c r="M50" s="1196">
        <f t="shared" si="0"/>
        <v>53727834.170000002</v>
      </c>
      <c r="N50" s="1210"/>
      <c r="O50" s="1990"/>
      <c r="P50" s="1210"/>
      <c r="Q50" s="1775">
        <v>0</v>
      </c>
      <c r="R50" s="1746"/>
      <c r="S50" s="1733">
        <v>1154204.5900000001</v>
      </c>
      <c r="T50" s="1200"/>
      <c r="U50" s="1195"/>
      <c r="V50" s="1530"/>
      <c r="W50" s="1531"/>
    </row>
    <row r="51" spans="1:23" ht="15">
      <c r="A51" s="1176" t="s">
        <v>443</v>
      </c>
      <c r="C51" s="1197">
        <v>75095780.090000004</v>
      </c>
      <c r="D51" s="1210"/>
      <c r="E51" s="1988">
        <v>0</v>
      </c>
      <c r="F51" s="1988"/>
      <c r="G51" s="1988">
        <v>0</v>
      </c>
      <c r="H51" s="1210"/>
      <c r="I51" s="1988">
        <v>0</v>
      </c>
      <c r="J51" s="1206"/>
      <c r="K51" s="1733">
        <v>0</v>
      </c>
      <c r="L51" s="1210"/>
      <c r="M51" s="1196">
        <f t="shared" si="0"/>
        <v>75095780.090000004</v>
      </c>
      <c r="N51" s="1210"/>
      <c r="O51" s="1990"/>
      <c r="P51" s="1210"/>
      <c r="Q51" s="1775">
        <v>0</v>
      </c>
      <c r="R51" s="1746"/>
      <c r="S51" s="1733">
        <v>1747735.08</v>
      </c>
      <c r="T51" s="1200"/>
      <c r="U51" s="1195"/>
      <c r="V51" s="1530"/>
      <c r="W51" s="1531"/>
    </row>
    <row r="52" spans="1:23" ht="15">
      <c r="A52" s="1176" t="s">
        <v>444</v>
      </c>
      <c r="C52" s="1197">
        <v>9644677.8200000003</v>
      </c>
      <c r="D52" s="1210"/>
      <c r="E52" s="1988">
        <v>0</v>
      </c>
      <c r="F52" s="1988"/>
      <c r="G52" s="1988">
        <v>0</v>
      </c>
      <c r="H52" s="1210"/>
      <c r="I52" s="1732">
        <v>0</v>
      </c>
      <c r="J52" s="1206"/>
      <c r="K52" s="1733">
        <v>0</v>
      </c>
      <c r="L52" s="1210"/>
      <c r="M52" s="1196">
        <f t="shared" si="0"/>
        <v>9644677.8200000003</v>
      </c>
      <c r="N52" s="1210"/>
      <c r="O52" s="1990"/>
      <c r="P52" s="1210"/>
      <c r="Q52" s="1199">
        <v>0</v>
      </c>
      <c r="R52" s="1746"/>
      <c r="S52" s="1733">
        <v>216787.38</v>
      </c>
      <c r="T52" s="1200"/>
      <c r="U52" s="1195"/>
      <c r="V52" s="1530"/>
      <c r="W52" s="1531"/>
    </row>
    <row r="53" spans="1:23" ht="15">
      <c r="A53" s="1176" t="s">
        <v>1217</v>
      </c>
      <c r="C53" s="1196">
        <v>914697696.96000004</v>
      </c>
      <c r="D53" s="1210"/>
      <c r="E53" s="1732">
        <v>0</v>
      </c>
      <c r="F53" s="1732"/>
      <c r="G53" s="1732">
        <v>0</v>
      </c>
      <c r="H53" s="1210"/>
      <c r="I53" s="1732">
        <v>0</v>
      </c>
      <c r="J53" s="1194"/>
      <c r="K53" s="1733">
        <v>0</v>
      </c>
      <c r="L53" s="1210"/>
      <c r="M53" s="1196">
        <f t="shared" si="0"/>
        <v>914697696.96000004</v>
      </c>
      <c r="N53" s="1210"/>
      <c r="O53" s="1990"/>
      <c r="P53" s="1210"/>
      <c r="Q53" s="1199">
        <v>0</v>
      </c>
      <c r="R53" s="1734"/>
      <c r="S53" s="1733">
        <v>19743875.440000001</v>
      </c>
      <c r="T53" s="1200"/>
      <c r="U53" s="1195"/>
      <c r="V53" s="1530"/>
      <c r="W53" s="1531"/>
    </row>
    <row r="54" spans="1:23">
      <c r="C54" s="1196"/>
      <c r="D54" s="1210"/>
      <c r="E54" s="1988"/>
      <c r="F54" s="1988"/>
      <c r="G54" s="1988"/>
      <c r="H54" s="1210"/>
      <c r="I54" s="1195"/>
      <c r="J54" s="1210"/>
      <c r="K54" s="1189"/>
      <c r="L54" s="1210"/>
      <c r="M54" s="1196"/>
      <c r="N54" s="1210"/>
      <c r="O54" s="1990"/>
      <c r="P54" s="1210"/>
      <c r="Q54" s="1775"/>
      <c r="R54" s="1988"/>
      <c r="S54" s="1988"/>
      <c r="U54" s="1530"/>
      <c r="V54" s="1530"/>
      <c r="W54" s="1531"/>
    </row>
    <row r="55" spans="1:23">
      <c r="A55" s="1176" t="s">
        <v>1218</v>
      </c>
      <c r="C55" s="1196"/>
      <c r="D55" s="1210"/>
      <c r="E55" s="1733"/>
      <c r="F55" s="1733"/>
      <c r="G55" s="1733"/>
      <c r="H55" s="1210"/>
      <c r="I55" s="1198"/>
      <c r="J55" s="1533"/>
      <c r="K55" s="1189"/>
      <c r="L55" s="1210"/>
      <c r="M55" s="1196"/>
      <c r="N55" s="1210"/>
      <c r="O55" s="1990"/>
      <c r="P55" s="1210"/>
      <c r="Q55" s="1196"/>
      <c r="R55" s="1988"/>
      <c r="S55" s="1988"/>
      <c r="U55" s="1195"/>
      <c r="V55" s="1530"/>
      <c r="W55" s="1193"/>
    </row>
    <row r="56" spans="1:23">
      <c r="A56" s="1176" t="s">
        <v>1359</v>
      </c>
      <c r="C56" s="1196">
        <v>2613008.91</v>
      </c>
      <c r="D56" s="1210"/>
      <c r="E56" s="1988">
        <v>0</v>
      </c>
      <c r="F56" s="1988"/>
      <c r="G56" s="1988">
        <v>0</v>
      </c>
      <c r="H56" s="1210"/>
      <c r="I56" s="1988">
        <v>0</v>
      </c>
      <c r="J56" s="1194"/>
      <c r="K56" s="1733">
        <v>0</v>
      </c>
      <c r="L56" s="1210"/>
      <c r="M56" s="1196">
        <f>ROUND(SUM(C56)-SUM(K56)+SUM(G56),2)</f>
        <v>2613008.91</v>
      </c>
      <c r="N56" s="1210"/>
      <c r="O56" s="1990"/>
      <c r="P56" s="1210"/>
      <c r="Q56" s="1775">
        <v>0</v>
      </c>
      <c r="R56" s="1988"/>
      <c r="S56" s="1733">
        <v>57828.7</v>
      </c>
      <c r="T56" s="1193"/>
      <c r="U56" s="1679"/>
      <c r="V56" s="1530"/>
      <c r="W56" s="1531"/>
    </row>
    <row r="57" spans="1:23" ht="15">
      <c r="A57" s="1176" t="s">
        <v>1308</v>
      </c>
      <c r="C57" s="1196">
        <v>9853974.1199999992</v>
      </c>
      <c r="D57" s="1210"/>
      <c r="E57" s="1988">
        <v>0</v>
      </c>
      <c r="F57" s="1988"/>
      <c r="G57" s="1988">
        <v>0</v>
      </c>
      <c r="H57" s="1210"/>
      <c r="I57" s="1988">
        <v>0</v>
      </c>
      <c r="J57" s="1177"/>
      <c r="K57" s="1196">
        <v>1588952.86</v>
      </c>
      <c r="L57" s="1210"/>
      <c r="M57" s="1196">
        <f>ROUND(SUM(C57)-SUM(K57)+SUM(G57),2)</f>
        <v>8265021.2599999998</v>
      </c>
      <c r="N57" s="1210"/>
      <c r="O57" s="1990"/>
      <c r="P57" s="1210"/>
      <c r="Q57" s="1775">
        <v>156134.84</v>
      </c>
      <c r="R57" s="1734"/>
      <c r="S57" s="1196">
        <v>372590.44</v>
      </c>
      <c r="T57" s="1193"/>
      <c r="U57" s="1679"/>
      <c r="V57" s="1530"/>
      <c r="W57" s="1531"/>
    </row>
    <row r="58" spans="1:23" ht="15">
      <c r="C58" s="1196"/>
      <c r="D58" s="1210"/>
      <c r="E58" s="1988"/>
      <c r="F58" s="1988"/>
      <c r="G58" s="1988"/>
      <c r="H58" s="1210"/>
      <c r="I58" s="1195"/>
      <c r="J58" s="1210"/>
      <c r="K58" s="1189"/>
      <c r="L58" s="1210"/>
      <c r="M58" s="1775"/>
      <c r="N58" s="1210"/>
      <c r="O58" s="1990"/>
      <c r="P58" s="1210"/>
      <c r="Q58" s="1775"/>
      <c r="R58" s="1746"/>
      <c r="S58" s="1746"/>
      <c r="U58" s="1530"/>
      <c r="V58" s="1530"/>
      <c r="W58" s="1531"/>
    </row>
    <row r="59" spans="1:23" ht="13.5" customHeight="1">
      <c r="A59" s="1176" t="s">
        <v>445</v>
      </c>
      <c r="C59" s="1196"/>
      <c r="D59" s="1210"/>
      <c r="E59" s="1988"/>
      <c r="F59" s="1988"/>
      <c r="G59" s="1988"/>
      <c r="H59" s="1210"/>
      <c r="I59" s="1198"/>
      <c r="J59" s="1210"/>
      <c r="K59" s="1189"/>
      <c r="L59" s="1210"/>
      <c r="M59" s="1775"/>
      <c r="N59" s="1210"/>
      <c r="O59" s="1990"/>
      <c r="P59" s="1210"/>
      <c r="Q59" s="1196"/>
      <c r="R59" s="1746"/>
      <c r="S59" s="1746"/>
      <c r="U59" s="1195"/>
      <c r="V59" s="1530"/>
      <c r="W59" s="1193"/>
    </row>
    <row r="60" spans="1:23" ht="15">
      <c r="A60" s="1176" t="s">
        <v>442</v>
      </c>
      <c r="C60" s="1196">
        <v>11168370.85</v>
      </c>
      <c r="D60" s="1210"/>
      <c r="E60" s="1988">
        <v>0</v>
      </c>
      <c r="F60" s="1988"/>
      <c r="G60" s="1988">
        <v>0</v>
      </c>
      <c r="H60" s="1210"/>
      <c r="I60" s="1733">
        <v>0</v>
      </c>
      <c r="J60" s="1177"/>
      <c r="K60" s="1196">
        <v>1756298.62</v>
      </c>
      <c r="L60" s="1210"/>
      <c r="M60" s="1196">
        <f>ROUND(SUM(C60)-SUM(K60)+SUM(G60),2)</f>
        <v>9412072.2300000004</v>
      </c>
      <c r="N60" s="1210"/>
      <c r="O60" s="1990"/>
      <c r="P60" s="1210"/>
      <c r="Q60" s="1196">
        <v>140484.03</v>
      </c>
      <c r="R60" s="1746"/>
      <c r="S60" s="1197">
        <v>375135.70999999996</v>
      </c>
      <c r="T60" s="1193"/>
      <c r="U60" s="1679"/>
      <c r="V60" s="1530"/>
      <c r="W60" s="1531"/>
    </row>
    <row r="61" spans="1:23" ht="15">
      <c r="A61" s="1176" t="s">
        <v>446</v>
      </c>
      <c r="C61" s="1196">
        <v>119119.44</v>
      </c>
      <c r="D61" s="1210"/>
      <c r="E61" s="1988">
        <v>0</v>
      </c>
      <c r="F61" s="1988"/>
      <c r="G61" s="1988">
        <v>0</v>
      </c>
      <c r="H61" s="1210"/>
      <c r="I61" s="1988">
        <v>0</v>
      </c>
      <c r="J61" s="1177"/>
      <c r="K61" s="1196">
        <v>40735.79</v>
      </c>
      <c r="L61" s="1210"/>
      <c r="M61" s="1196">
        <f>ROUND(SUM(C61)-SUM(K61)+SUM(G61),2)</f>
        <v>78383.649999999994</v>
      </c>
      <c r="N61" s="1210"/>
      <c r="O61" s="1990"/>
      <c r="P61" s="1210"/>
      <c r="Q61" s="1775">
        <v>2014.23</v>
      </c>
      <c r="R61" s="1734"/>
      <c r="S61" s="1196">
        <v>5063.2199999999993</v>
      </c>
      <c r="T61" s="1193"/>
      <c r="U61" s="1684"/>
      <c r="V61" s="1530"/>
      <c r="W61" s="1531"/>
    </row>
    <row r="62" spans="1:23">
      <c r="B62" s="1210"/>
      <c r="C62" s="1535"/>
      <c r="D62" s="1210"/>
      <c r="E62" s="1993"/>
      <c r="F62" s="1179"/>
      <c r="G62" s="1993"/>
      <c r="H62" s="1210"/>
      <c r="I62" s="1537"/>
      <c r="J62" s="1210"/>
      <c r="K62" s="1536"/>
      <c r="L62" s="1210"/>
      <c r="M62" s="1953"/>
      <c r="N62" s="1210"/>
      <c r="O62" s="1990"/>
      <c r="P62" s="1210"/>
      <c r="Q62" s="1537"/>
      <c r="R62" s="1210"/>
      <c r="S62" s="1535"/>
      <c r="T62" s="1205"/>
    </row>
    <row r="63" spans="1:23" ht="15.75" thickBot="1">
      <c r="A63" s="1190" t="s">
        <v>447</v>
      </c>
      <c r="B63" s="1201"/>
      <c r="C63" s="1202">
        <f>ROUND(SUM(C16:C61),2)</f>
        <v>3191334999.46</v>
      </c>
      <c r="D63" s="1201"/>
      <c r="E63" s="1202">
        <f>ROUND(SUM(E16:E61),2)</f>
        <v>0</v>
      </c>
      <c r="F63" s="1177"/>
      <c r="G63" s="1202">
        <f>ROUND(SUM(G16:G61),2)</f>
        <v>0</v>
      </c>
      <c r="H63" s="1201"/>
      <c r="I63" s="1202">
        <f>ROUND(SUM(I16:I61),2)</f>
        <v>1060000</v>
      </c>
      <c r="J63" s="1201"/>
      <c r="K63" s="1202">
        <f>ROUND(SUM(K16:K61),2)</f>
        <v>128670000</v>
      </c>
      <c r="L63" s="1201"/>
      <c r="M63" s="1202">
        <f>ROUND(SUM(M16:M61),2)</f>
        <v>3062664999.46</v>
      </c>
      <c r="N63" s="1994"/>
      <c r="O63" s="1995"/>
      <c r="P63" s="1201"/>
      <c r="Q63" s="1202">
        <f>ROUND(SUM(Q16:Q61),2)</f>
        <v>7890892.9500000002</v>
      </c>
      <c r="R63" s="1201"/>
      <c r="S63" s="1202">
        <f>ROUND(SUM(S16:S61),2)</f>
        <v>75358774.480000004</v>
      </c>
      <c r="T63" s="1685"/>
      <c r="U63" s="1686"/>
      <c r="V63" s="1687"/>
      <c r="W63" s="1687"/>
    </row>
    <row r="64" spans="1:23" ht="15" customHeight="1" thickTop="1">
      <c r="A64" s="1688"/>
      <c r="B64" s="1689"/>
      <c r="C64" s="1685"/>
      <c r="D64" s="1689"/>
      <c r="E64" s="1690"/>
      <c r="F64" s="1532"/>
      <c r="G64" s="1690"/>
      <c r="H64" s="1689"/>
      <c r="I64" s="1685"/>
      <c r="J64" s="1689"/>
      <c r="K64" s="1691"/>
      <c r="L64" s="1689"/>
      <c r="M64" s="1954"/>
      <c r="N64" s="1190"/>
      <c r="O64" s="1190"/>
      <c r="P64" s="1689"/>
      <c r="Q64" s="1691"/>
      <c r="R64" s="1689"/>
      <c r="S64" s="1685"/>
      <c r="U64" s="1692"/>
      <c r="V64" s="1692"/>
      <c r="W64" s="1692"/>
    </row>
    <row r="65" spans="1:20" ht="15" customHeight="1">
      <c r="A65" s="1693"/>
      <c r="B65" s="1205"/>
      <c r="C65" s="1205"/>
      <c r="D65" s="1694"/>
      <c r="E65" s="1205"/>
      <c r="F65" s="1694"/>
      <c r="H65" s="1210"/>
      <c r="I65" s="1176"/>
      <c r="J65" s="1210"/>
      <c r="K65" s="1176"/>
      <c r="L65" s="1210"/>
      <c r="N65" s="1205"/>
      <c r="P65" s="1533"/>
    </row>
    <row r="66" spans="1:20">
      <c r="A66" s="1533"/>
      <c r="C66" s="1205"/>
      <c r="D66" s="1695"/>
      <c r="E66" s="1694"/>
      <c r="F66" s="1695"/>
      <c r="G66" s="1205"/>
      <c r="H66" s="1530"/>
      <c r="I66" s="1210"/>
      <c r="J66" s="1530"/>
      <c r="K66" s="1210"/>
      <c r="L66" s="1531"/>
      <c r="O66" s="1205"/>
      <c r="P66" s="1531"/>
      <c r="R66" s="1193"/>
    </row>
    <row r="67" spans="1:20">
      <c r="A67" s="1211"/>
      <c r="E67" s="1696"/>
      <c r="G67" s="1209"/>
      <c r="I67" s="1195"/>
      <c r="K67" s="1195"/>
      <c r="Q67" s="1193"/>
      <c r="S67" s="1193"/>
      <c r="T67" s="1191"/>
    </row>
    <row r="68" spans="1:20">
      <c r="E68" s="1210"/>
      <c r="G68" s="1210"/>
      <c r="M68" s="1775"/>
      <c r="O68" s="1205"/>
      <c r="Q68" s="1533"/>
    </row>
    <row r="69" spans="1:20">
      <c r="C69" s="1193"/>
      <c r="E69" s="1194"/>
      <c r="G69" s="1194"/>
      <c r="I69" s="1195"/>
      <c r="K69" s="1195"/>
      <c r="M69" s="1199"/>
      <c r="O69" s="1205"/>
      <c r="Q69" s="1206"/>
      <c r="S69" s="1193"/>
    </row>
    <row r="70" spans="1:20">
      <c r="C70" s="1193"/>
      <c r="E70" s="1194"/>
      <c r="G70" s="1531"/>
      <c r="I70" s="1195"/>
      <c r="K70" s="1195"/>
      <c r="M70" s="1955"/>
      <c r="O70" s="1205"/>
      <c r="Q70" s="1531"/>
      <c r="S70" s="1193"/>
    </row>
    <row r="71" spans="1:20">
      <c r="C71" s="1193"/>
      <c r="E71" s="1194"/>
      <c r="G71" s="1528"/>
      <c r="I71" s="1195"/>
      <c r="K71" s="1195"/>
      <c r="M71" s="1775"/>
      <c r="O71" s="1205"/>
      <c r="Q71" s="1683"/>
      <c r="S71" s="1193"/>
    </row>
    <row r="72" spans="1:20">
      <c r="C72" s="1193"/>
      <c r="E72" s="1194"/>
      <c r="G72" s="1194"/>
      <c r="I72" s="1195"/>
      <c r="K72" s="1195"/>
      <c r="M72" s="1199"/>
      <c r="O72" s="1205"/>
      <c r="Q72" s="1206"/>
      <c r="S72" s="1193"/>
      <c r="T72" s="1191"/>
    </row>
    <row r="73" spans="1:20">
      <c r="C73" s="1193"/>
      <c r="E73" s="1194"/>
      <c r="G73" s="1194"/>
      <c r="I73" s="1195"/>
      <c r="K73" s="1195"/>
      <c r="M73" s="1199"/>
      <c r="O73" s="1205"/>
      <c r="Q73" s="1206"/>
      <c r="S73" s="1193"/>
    </row>
    <row r="74" spans="1:20">
      <c r="C74" s="1193"/>
      <c r="E74" s="1194"/>
      <c r="G74" s="1531"/>
      <c r="I74" s="1195"/>
      <c r="K74" s="1195"/>
      <c r="M74" s="1955"/>
      <c r="O74" s="1205"/>
      <c r="Q74" s="1531"/>
      <c r="S74" s="1193"/>
    </row>
    <row r="75" spans="1:20">
      <c r="C75" s="1193"/>
      <c r="E75" s="1194"/>
      <c r="G75" s="1528"/>
      <c r="I75" s="1195"/>
      <c r="K75" s="1195"/>
      <c r="M75" s="1775"/>
      <c r="O75" s="1205"/>
      <c r="Q75" s="1683"/>
      <c r="S75" s="1193"/>
    </row>
    <row r="76" spans="1:20">
      <c r="B76" s="1205"/>
      <c r="C76" s="1697"/>
      <c r="D76" s="1205"/>
      <c r="E76" s="1698"/>
      <c r="F76" s="1205"/>
      <c r="G76" s="1698"/>
      <c r="H76" s="1205"/>
      <c r="I76" s="1699"/>
      <c r="J76" s="1205"/>
      <c r="K76" s="1699"/>
      <c r="L76" s="1205"/>
      <c r="M76" s="1956"/>
      <c r="N76" s="1205"/>
      <c r="O76" s="1205"/>
      <c r="P76" s="1205"/>
      <c r="Q76" s="1700"/>
      <c r="R76" s="1205"/>
      <c r="S76" s="1697"/>
    </row>
    <row r="77" spans="1:20">
      <c r="A77" s="1205"/>
      <c r="B77" s="1205"/>
      <c r="C77" s="1204"/>
      <c r="D77" s="1203"/>
      <c r="E77" s="1701"/>
      <c r="F77" s="1203"/>
      <c r="G77" s="1701"/>
      <c r="H77" s="1203"/>
      <c r="I77" s="1207"/>
      <c r="J77" s="1203"/>
      <c r="K77" s="1207"/>
      <c r="L77" s="1203"/>
      <c r="M77" s="1957"/>
      <c r="N77" s="1203"/>
      <c r="O77" s="1203"/>
      <c r="P77" s="1203"/>
      <c r="Q77" s="1701"/>
      <c r="R77" s="1203"/>
      <c r="S77" s="1204"/>
    </row>
    <row r="78" spans="1:20">
      <c r="A78" s="1203"/>
      <c r="C78" s="1692"/>
      <c r="D78" s="1190"/>
      <c r="E78" s="1692"/>
      <c r="F78" s="1190"/>
      <c r="G78" s="1692"/>
      <c r="H78" s="1190"/>
      <c r="I78" s="1679"/>
      <c r="J78" s="1190"/>
      <c r="K78" s="1679"/>
      <c r="L78" s="1190"/>
      <c r="M78" s="1954"/>
      <c r="N78" s="1190"/>
      <c r="O78" s="1190"/>
      <c r="P78" s="1190"/>
      <c r="Q78" s="1692"/>
      <c r="R78" s="1190"/>
      <c r="S78" s="1692"/>
    </row>
    <row r="79" spans="1:20">
      <c r="A79" s="1190"/>
    </row>
    <row r="80" spans="1:20">
      <c r="C80" s="1533"/>
    </row>
    <row r="81" spans="3:13">
      <c r="C81" s="1211"/>
      <c r="E81" s="1694"/>
      <c r="F81" s="1205"/>
      <c r="G81" s="1694"/>
      <c r="H81" s="1205"/>
      <c r="I81" s="1208"/>
      <c r="J81" s="1205"/>
      <c r="K81" s="1208"/>
      <c r="L81" s="1205"/>
      <c r="M81" s="1958"/>
    </row>
    <row r="82" spans="3:13">
      <c r="E82" s="1179"/>
      <c r="G82" s="1534"/>
    </row>
    <row r="83" spans="3:13">
      <c r="E83" s="1702"/>
      <c r="G83" s="1209"/>
    </row>
  </sheetData>
  <customSheetViews>
    <customSheetView guid="{BD09DBC2-63A5-4D9C-9B00-4281066E9389}" scale="80" showPageBreaks="1" showGridLines="0" fitToPage="1" printArea="1" topLeftCell="A44">
      <selection activeCell="C63" sqref="C63"/>
      <rowBreaks count="1" manualBreakCount="1">
        <brk id="2" max="21" man="1"/>
      </rowBreaks>
      <colBreaks count="1" manualBreakCount="1">
        <brk id="17" max="65" man="1"/>
      </colBreaks>
      <pageMargins left="0.5" right="0.4" top="0" bottom="0" header="0.31" footer="0.25"/>
      <printOptions horizontalCentered="1" verticalCentered="1"/>
      <pageSetup scale="58" firstPageNumber="44" orientation="landscape" useFirstPageNumber="1" r:id="rId1"/>
      <headerFooter scaleWithDoc="0" alignWithMargins="0">
        <oddFooter>&amp;C&amp;8&amp;P</oddFooter>
      </headerFooter>
    </customSheetView>
    <customSheetView guid="{C82E0A7D-2B5B-48FC-A705-3168E651E04C}" scale="80" showPageBreaks="1" showGridLines="0" fitToPage="1" printArea="1" topLeftCell="A26">
      <selection activeCell="K60" sqref="K60"/>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2"/>
      <headerFooter scaleWithDoc="0" alignWithMargins="0">
        <oddFooter>&amp;C&amp;8 44</oddFooter>
      </headerFooter>
    </customSheetView>
    <customSheetView guid="{A8B05C3B-0E7E-44A3-A097-AF4C5C09F04E}" scale="80" showPageBreaks="1" showGridLines="0" fitToPage="1" printArea="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3"/>
      <headerFooter scaleWithDoc="0" alignWithMargins="0">
        <oddFooter>&amp;C&amp;8 44</oddFooter>
      </headerFooter>
    </customSheetView>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4"/>
      <headerFooter scaleWithDoc="0" alignWithMargins="0">
        <oddFooter>&amp;C&amp;8 44</oddFooter>
      </headerFooter>
    </customSheetView>
    <customSheetView guid="{4735AAE3-27B4-4549-AAB4-50ACA997F5F5}" scale="80" showPageBreaks="1" showGridLines="0" fitToPage="1" printArea="1">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5"/>
      <headerFooter scaleWithDoc="0" alignWithMargins="0">
        <oddFooter>&amp;C&amp;8 44</oddFooter>
      </headerFooter>
    </customSheetView>
    <customSheetView guid="{80622567-647A-4891-B8EE-6B9E2C4DAC44}" scale="80" showPageBreaks="1" showGridLines="0" fitToPage="1" printArea="1" topLeftCell="A19">
      <selection activeCell="A65" sqref="A65"/>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6"/>
      <headerFooter scaleWithDoc="0" alignWithMargins="0">
        <oddFooter>&amp;C&amp;8 44</oddFooter>
      </headerFooter>
    </customSheetView>
    <customSheetView guid="{A97EE6C3-4DA8-41BD-BE43-F596EFCB43CA}" scale="80" showPageBreaks="1" showGridLines="0" fitToPage="1" printArea="1" topLeftCell="A3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7"/>
      <headerFooter scaleWithDoc="0" alignWithMargins="0">
        <oddFooter>&amp;C&amp;8 44</oddFooter>
      </headerFooter>
    </customSheetView>
    <customSheetView guid="{90B76C5A-2FC4-40F0-8436-3E4F075A4887}" scale="70" showPageBreaks="1" showGridLines="0" fitToPage="1" printArea="1">
      <selection activeCell="K29" sqref="K29"/>
      <rowBreaks count="1" manualBreakCount="1">
        <brk id="2" max="18" man="1"/>
      </rowBreaks>
      <colBreaks count="1" manualBreakCount="1">
        <brk id="17" min="1" max="62" man="1"/>
      </colBreaks>
      <pageMargins left="0.5" right="0.4" top="0" bottom="0" header="0.31" footer="0.25"/>
      <printOptions horizontalCentered="1" verticalCentered="1"/>
      <pageSetup scale="58" orientation="landscape" r:id="rId8"/>
      <headerFooter scaleWithDoc="0" alignWithMargins="0">
        <oddFooter>&amp;C&amp;8 44</oddFooter>
      </headerFooter>
    </customSheetView>
  </customSheetViews>
  <printOptions horizontalCentered="1" verticalCentered="1"/>
  <pageMargins left="0.5" right="0.4" top="0" bottom="0" header="0.31" footer="0.25"/>
  <pageSetup scale="58" firstPageNumber="44" orientation="landscape" useFirstPageNumber="1" r:id="rId9"/>
  <headerFooter scaleWithDoc="0" alignWithMargins="0">
    <oddFooter>&amp;C&amp;8&amp;P</oddFooter>
  </headerFooter>
  <rowBreaks count="1" manualBreakCount="1">
    <brk id="2" max="21" man="1"/>
  </rowBreaks>
  <colBreaks count="1" manualBreakCount="1">
    <brk id="17" max="65" man="1"/>
  </colBreaks>
</worksheet>
</file>

<file path=xl/worksheets/sheet35.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60" zoomScaleNormal="70" workbookViewId="0"/>
  </sheetViews>
  <sheetFormatPr defaultRowHeight="12.75"/>
  <cols>
    <col min="1" max="1" width="3.77734375" style="2892" customWidth="1"/>
    <col min="2" max="2" width="43.88671875" style="2892" customWidth="1"/>
    <col min="3" max="3" width="2.109375" style="2892" customWidth="1"/>
    <col min="4" max="4" width="13.77734375" style="2892" customWidth="1"/>
    <col min="5" max="5" width="2.109375" style="2892" customWidth="1"/>
    <col min="6" max="6" width="18.109375" style="2892" customWidth="1"/>
    <col min="7" max="7" width="2.109375" style="2892" customWidth="1"/>
    <col min="8" max="8" width="20.33203125" style="2892" customWidth="1"/>
    <col min="9" max="9" width="2.109375" style="2892" customWidth="1"/>
    <col min="10" max="10" width="17.33203125" style="2892" bestFit="1" customWidth="1"/>
    <col min="11" max="11" width="2.109375" style="2892" customWidth="1"/>
    <col min="12" max="12" width="16.5546875" style="2892" customWidth="1"/>
    <col min="13" max="13" width="2.109375" style="2892" customWidth="1"/>
    <col min="14" max="14" width="17.109375" style="2892" customWidth="1"/>
    <col min="15" max="15" width="2.109375" style="2892" customWidth="1"/>
    <col min="16" max="16" width="18.21875" style="2892" bestFit="1" customWidth="1"/>
    <col min="17" max="17" width="2.109375" style="2892" customWidth="1"/>
    <col min="18" max="18" width="19.6640625" style="2892" customWidth="1"/>
    <col min="19" max="19" width="2.109375" style="2892" customWidth="1"/>
    <col min="20" max="20" width="20.109375" style="2892" customWidth="1"/>
    <col min="21" max="21" width="2.109375" style="2892" customWidth="1"/>
    <col min="22" max="22" width="20" style="2892" customWidth="1"/>
    <col min="23" max="23" width="17.109375" style="2892" customWidth="1"/>
    <col min="24" max="24" width="18.5546875" style="2892" customWidth="1"/>
    <col min="25" max="25" width="35.33203125" style="2892" bestFit="1" customWidth="1"/>
    <col min="26" max="16384" width="8.88671875" style="2892"/>
  </cols>
  <sheetData>
    <row r="1" spans="1:23" ht="15">
      <c r="B1" s="1227" t="s">
        <v>1322</v>
      </c>
    </row>
    <row r="2" spans="1:23" ht="16.5">
      <c r="B2" s="1538"/>
      <c r="C2" s="1538"/>
      <c r="D2" s="1538"/>
      <c r="E2" s="1538"/>
      <c r="F2" s="1538"/>
      <c r="G2" s="1538"/>
      <c r="H2" s="1538"/>
      <c r="I2" s="1538"/>
      <c r="J2" s="1538"/>
      <c r="K2" s="1538"/>
      <c r="L2" s="1538"/>
      <c r="M2" s="1538"/>
      <c r="N2" s="1538"/>
      <c r="O2" s="1538"/>
      <c r="P2" s="1538"/>
      <c r="Q2" s="1538"/>
      <c r="R2" s="1538"/>
      <c r="S2" s="1538"/>
      <c r="T2" s="1538"/>
      <c r="U2" s="1538"/>
      <c r="V2" s="1538"/>
      <c r="W2" s="1563"/>
    </row>
    <row r="3" spans="1:23" ht="18">
      <c r="A3" s="2893"/>
      <c r="B3" s="1175" t="s">
        <v>0</v>
      </c>
      <c r="C3" s="1539"/>
      <c r="D3" s="1539"/>
      <c r="E3" s="1539"/>
      <c r="F3" s="1538"/>
      <c r="G3" s="1538"/>
      <c r="H3" s="1538"/>
      <c r="I3" s="1538"/>
      <c r="J3" s="1538"/>
      <c r="K3" s="1538"/>
      <c r="L3" s="1538"/>
      <c r="M3" s="1538"/>
      <c r="N3" s="1538"/>
      <c r="O3" s="1538"/>
      <c r="P3" s="1538"/>
      <c r="Q3" s="1538"/>
      <c r="R3" s="1538"/>
      <c r="S3" s="1538"/>
      <c r="T3" s="1538"/>
      <c r="U3" s="1538"/>
      <c r="V3" s="1786" t="s">
        <v>448</v>
      </c>
      <c r="W3" s="1564"/>
    </row>
    <row r="4" spans="1:23" ht="18">
      <c r="A4" s="2893"/>
      <c r="B4" s="1175" t="s">
        <v>449</v>
      </c>
      <c r="C4" s="1539"/>
      <c r="D4" s="1539"/>
      <c r="E4" s="1539"/>
      <c r="F4" s="1538"/>
      <c r="G4" s="1538"/>
      <c r="H4" s="1538"/>
      <c r="I4" s="1538"/>
      <c r="J4" s="1538"/>
      <c r="K4" s="1538"/>
      <c r="L4" s="1538"/>
      <c r="M4" s="1538"/>
      <c r="N4" s="1538"/>
      <c r="O4" s="1538"/>
      <c r="P4" s="1538"/>
      <c r="Q4" s="1538"/>
      <c r="R4" s="1538"/>
      <c r="S4" s="1538"/>
      <c r="T4" s="1538"/>
      <c r="U4" s="1538"/>
      <c r="V4" s="1703"/>
      <c r="W4" s="1563"/>
    </row>
    <row r="5" spans="1:23" ht="18">
      <c r="A5" s="2893"/>
      <c r="B5" s="1175" t="s">
        <v>450</v>
      </c>
      <c r="C5" s="1539"/>
      <c r="D5" s="1539"/>
      <c r="E5" s="1539"/>
      <c r="F5" s="1538"/>
      <c r="G5" s="1538"/>
      <c r="H5" s="1538"/>
      <c r="I5" s="1538"/>
      <c r="J5" s="1538"/>
      <c r="K5" s="1538"/>
      <c r="L5" s="1538"/>
      <c r="M5" s="1538"/>
      <c r="N5" s="1538"/>
      <c r="O5" s="1538"/>
      <c r="P5" s="1538"/>
      <c r="Q5" s="1538"/>
      <c r="R5" s="1538"/>
      <c r="S5" s="1538"/>
      <c r="T5" s="1538"/>
      <c r="U5" s="1538"/>
      <c r="V5" s="1538"/>
      <c r="W5" s="1563"/>
    </row>
    <row r="6" spans="1:23" ht="18">
      <c r="A6" s="2893"/>
      <c r="B6" s="1782" t="s">
        <v>1643</v>
      </c>
      <c r="C6" s="1704"/>
      <c r="D6" s="1539"/>
      <c r="E6" s="1539"/>
      <c r="F6" s="1538"/>
      <c r="G6" s="1538"/>
      <c r="H6" s="1538"/>
      <c r="I6" s="1538"/>
      <c r="J6" s="1538"/>
      <c r="K6" s="1538"/>
      <c r="L6" s="1538"/>
      <c r="M6" s="1538"/>
      <c r="N6" s="1538"/>
      <c r="O6" s="1538"/>
      <c r="P6" s="1538"/>
      <c r="Q6" s="1538"/>
      <c r="R6" s="1538"/>
      <c r="S6" s="1538"/>
      <c r="T6" s="1538"/>
      <c r="U6" s="1538"/>
      <c r="V6" s="1538"/>
      <c r="W6" s="1563"/>
    </row>
    <row r="7" spans="1:23" ht="16.5">
      <c r="A7" s="2893"/>
      <c r="B7" s="1540"/>
      <c r="C7" s="1540"/>
      <c r="D7" s="1539"/>
      <c r="E7" s="1539"/>
      <c r="F7" s="1538"/>
      <c r="G7" s="1538"/>
      <c r="H7" s="1538"/>
      <c r="I7" s="1538"/>
      <c r="J7" s="1538"/>
      <c r="K7" s="1538"/>
      <c r="L7" s="1538"/>
      <c r="M7" s="1538"/>
      <c r="N7" s="1538"/>
      <c r="O7" s="1538"/>
      <c r="P7" s="1538"/>
      <c r="Q7" s="1538"/>
      <c r="R7" s="1538"/>
      <c r="S7" s="1538"/>
      <c r="T7" s="1538"/>
      <c r="U7" s="1538"/>
      <c r="V7" s="1538"/>
      <c r="W7" s="1563"/>
    </row>
    <row r="8" spans="1:23" ht="5.25" customHeight="1">
      <c r="B8" s="1705"/>
      <c r="C8" s="1705"/>
      <c r="D8" s="1538"/>
      <c r="E8" s="1538"/>
      <c r="F8" s="1538"/>
      <c r="G8" s="1538"/>
      <c r="H8" s="1538"/>
      <c r="I8" s="1538"/>
      <c r="J8" s="1538"/>
      <c r="K8" s="1538"/>
      <c r="L8" s="1538"/>
      <c r="M8" s="1538"/>
      <c r="N8" s="1538"/>
      <c r="O8" s="1538"/>
      <c r="P8" s="1538"/>
      <c r="Q8" s="1538"/>
      <c r="R8" s="1538"/>
      <c r="S8" s="1538"/>
      <c r="T8" s="1538"/>
      <c r="U8" s="1538"/>
      <c r="V8" s="1538"/>
      <c r="W8" s="1563"/>
    </row>
    <row r="9" spans="1:23" ht="16.5">
      <c r="B9" s="1538"/>
      <c r="C9" s="1538"/>
      <c r="D9" s="1706" t="s">
        <v>127</v>
      </c>
      <c r="E9" s="1706"/>
      <c r="F9" s="1706"/>
      <c r="G9" s="1706"/>
      <c r="H9" s="1706"/>
      <c r="I9" s="1706"/>
      <c r="J9" s="1706" t="s">
        <v>451</v>
      </c>
      <c r="K9" s="1706"/>
      <c r="L9" s="1706"/>
      <c r="M9" s="1706"/>
      <c r="N9" s="1706"/>
      <c r="O9" s="1706"/>
      <c r="P9" s="1706"/>
      <c r="Q9" s="1706"/>
      <c r="R9" s="1538"/>
      <c r="S9" s="1538"/>
      <c r="T9" s="1538"/>
      <c r="U9" s="1538"/>
      <c r="V9" s="1538"/>
      <c r="W9" s="1563"/>
    </row>
    <row r="10" spans="1:23" ht="16.5">
      <c r="B10" s="1538"/>
      <c r="C10" s="1538"/>
      <c r="D10" s="1541" t="s">
        <v>452</v>
      </c>
      <c r="E10" s="1541"/>
      <c r="F10" s="1541" t="s">
        <v>109</v>
      </c>
      <c r="G10" s="1541"/>
      <c r="H10" s="1541" t="s">
        <v>453</v>
      </c>
      <c r="I10" s="1541"/>
      <c r="J10" s="1541" t="s">
        <v>454</v>
      </c>
      <c r="K10" s="1541"/>
      <c r="L10" s="1541" t="s">
        <v>455</v>
      </c>
      <c r="M10" s="1541"/>
      <c r="N10" s="1541" t="s">
        <v>11</v>
      </c>
      <c r="O10" s="1541"/>
      <c r="P10" s="1541" t="s">
        <v>1219</v>
      </c>
      <c r="Q10" s="1541"/>
      <c r="R10" s="1538"/>
      <c r="S10" s="1538"/>
      <c r="T10" s="1538"/>
      <c r="U10" s="1538"/>
      <c r="V10" s="1538"/>
      <c r="W10" s="1563"/>
    </row>
    <row r="11" spans="1:23" ht="16.5">
      <c r="B11" s="1538"/>
      <c r="C11" s="1538"/>
      <c r="D11" s="1541" t="s">
        <v>456</v>
      </c>
      <c r="E11" s="1541"/>
      <c r="F11" s="1541" t="s">
        <v>127</v>
      </c>
      <c r="G11" s="1541"/>
      <c r="H11" s="1541" t="s">
        <v>457</v>
      </c>
      <c r="I11" s="1541"/>
      <c r="J11" s="1541" t="s">
        <v>458</v>
      </c>
      <c r="K11" s="1541"/>
      <c r="L11" s="1541" t="s">
        <v>459</v>
      </c>
      <c r="M11" s="1541"/>
      <c r="N11" s="1542" t="s">
        <v>460</v>
      </c>
      <c r="O11" s="1541"/>
      <c r="P11" s="1541" t="s">
        <v>1220</v>
      </c>
      <c r="Q11" s="1541"/>
      <c r="R11" s="1707" t="s">
        <v>461</v>
      </c>
      <c r="S11" s="1707"/>
      <c r="T11" s="1707"/>
      <c r="U11" s="1707"/>
      <c r="V11" s="1538"/>
      <c r="W11" s="1563"/>
    </row>
    <row r="12" spans="1:23" ht="16.5">
      <c r="B12" s="1538"/>
      <c r="C12" s="1538"/>
      <c r="D12" s="1541" t="s">
        <v>10</v>
      </c>
      <c r="E12" s="1541"/>
      <c r="F12" s="1541" t="s">
        <v>12</v>
      </c>
      <c r="G12" s="1541"/>
      <c r="H12" s="1541" t="s">
        <v>462</v>
      </c>
      <c r="I12" s="1541"/>
      <c r="J12" s="1541" t="s">
        <v>463</v>
      </c>
      <c r="K12" s="1541"/>
      <c r="L12" s="1541" t="s">
        <v>464</v>
      </c>
      <c r="M12" s="1541"/>
      <c r="N12" s="1542" t="s">
        <v>463</v>
      </c>
      <c r="O12" s="1542"/>
      <c r="P12" s="1541" t="s">
        <v>463</v>
      </c>
      <c r="Q12" s="1541"/>
      <c r="R12" s="1544" t="s">
        <v>1644</v>
      </c>
      <c r="S12" s="1544"/>
      <c r="T12" s="1544"/>
      <c r="U12" s="1543"/>
      <c r="V12" s="1706" t="s">
        <v>1221</v>
      </c>
      <c r="W12" s="1565"/>
    </row>
    <row r="13" spans="1:23" ht="16.5">
      <c r="A13" s="2894"/>
      <c r="B13" s="1545" t="s">
        <v>472</v>
      </c>
      <c r="C13" s="1550"/>
      <c r="D13" s="1546" t="s">
        <v>465</v>
      </c>
      <c r="E13" s="1565"/>
      <c r="F13" s="1546" t="s">
        <v>466</v>
      </c>
      <c r="G13" s="1565"/>
      <c r="H13" s="1547" t="s">
        <v>467</v>
      </c>
      <c r="I13" s="1565"/>
      <c r="J13" s="1547" t="s">
        <v>468</v>
      </c>
      <c r="K13" s="1565"/>
      <c r="L13" s="1547" t="s">
        <v>469</v>
      </c>
      <c r="M13" s="1565"/>
      <c r="N13" s="1548" t="s">
        <v>470</v>
      </c>
      <c r="O13" s="1565"/>
      <c r="P13" s="1548" t="s">
        <v>1222</v>
      </c>
      <c r="Q13" s="1565"/>
      <c r="R13" s="2895">
        <v>2014</v>
      </c>
      <c r="S13" s="2895"/>
      <c r="T13" s="2895">
        <v>2013</v>
      </c>
      <c r="U13" s="1565"/>
      <c r="V13" s="1549" t="s">
        <v>471</v>
      </c>
      <c r="W13" s="1565"/>
    </row>
    <row r="14" spans="1:23" ht="16.5">
      <c r="B14" s="1550" t="s">
        <v>473</v>
      </c>
      <c r="C14" s="1550"/>
      <c r="D14" s="1708"/>
      <c r="E14" s="1708"/>
      <c r="F14" s="1709"/>
      <c r="G14" s="1709"/>
      <c r="H14" s="1710"/>
      <c r="I14" s="1710"/>
      <c r="J14" s="1710"/>
      <c r="K14" s="1710"/>
      <c r="L14" s="1710"/>
      <c r="M14" s="1710"/>
      <c r="N14" s="1708"/>
      <c r="O14" s="1708"/>
      <c r="P14" s="1708"/>
      <c r="Q14" s="1708"/>
      <c r="R14" s="1710"/>
      <c r="S14" s="1710"/>
      <c r="T14" s="1711"/>
      <c r="U14" s="1711"/>
      <c r="V14" s="1712"/>
      <c r="W14" s="1563"/>
    </row>
    <row r="15" spans="1:23" ht="15" customHeight="1">
      <c r="A15" s="2896"/>
      <c r="B15" s="1713" t="s">
        <v>473</v>
      </c>
      <c r="C15" s="1713"/>
      <c r="D15" s="1714"/>
      <c r="E15" s="1714"/>
      <c r="F15" s="1715"/>
      <c r="G15" s="1715"/>
      <c r="H15" s="1714"/>
      <c r="I15" s="1714"/>
      <c r="J15" s="1714"/>
      <c r="K15" s="1714"/>
      <c r="L15" s="1714"/>
      <c r="M15" s="1714"/>
      <c r="N15" s="1714"/>
      <c r="O15" s="1714"/>
      <c r="P15" s="1714"/>
      <c r="Q15" s="1714"/>
      <c r="R15" s="1716"/>
      <c r="S15" s="1716"/>
      <c r="T15" s="1717"/>
      <c r="U15" s="1717"/>
      <c r="V15" s="1538"/>
      <c r="W15" s="1563"/>
    </row>
    <row r="16" spans="1:23" ht="15" customHeight="1">
      <c r="A16" s="2896"/>
      <c r="B16" s="1705" t="s">
        <v>474</v>
      </c>
      <c r="C16" s="1705"/>
      <c r="D16" s="1566">
        <v>0</v>
      </c>
      <c r="E16" s="1566"/>
      <c r="F16" s="1551">
        <v>182667014</v>
      </c>
      <c r="G16" s="1551"/>
      <c r="H16" s="1551">
        <v>0</v>
      </c>
      <c r="I16" s="1551"/>
      <c r="J16" s="1551">
        <v>0</v>
      </c>
      <c r="K16" s="1551"/>
      <c r="L16" s="1551">
        <v>0</v>
      </c>
      <c r="M16" s="1551"/>
      <c r="N16" s="1551">
        <v>0</v>
      </c>
      <c r="O16" s="1551"/>
      <c r="P16" s="1551">
        <v>0</v>
      </c>
      <c r="Q16" s="1551"/>
      <c r="R16" s="1566">
        <f>ROUND(SUM(D16:Q16),0)</f>
        <v>182667014</v>
      </c>
      <c r="S16" s="1566"/>
      <c r="T16" s="1551">
        <v>120492190</v>
      </c>
      <c r="U16" s="1551"/>
      <c r="V16" s="1717">
        <f>ROUND(R16-T16,0)</f>
        <v>62174824</v>
      </c>
      <c r="W16" s="1566"/>
    </row>
    <row r="17" spans="1:23" ht="15" customHeight="1">
      <c r="A17" s="2896"/>
      <c r="B17" s="1538" t="s">
        <v>475</v>
      </c>
      <c r="C17" s="1538"/>
      <c r="D17" s="1552"/>
      <c r="E17" s="1552"/>
      <c r="F17" s="1552"/>
      <c r="G17" s="1552"/>
      <c r="H17" s="1552"/>
      <c r="I17" s="1552"/>
      <c r="J17" s="1551"/>
      <c r="K17" s="1551"/>
      <c r="L17" s="1553"/>
      <c r="M17" s="1553"/>
      <c r="N17" s="1553"/>
      <c r="O17" s="1553"/>
      <c r="P17" s="1553"/>
      <c r="Q17" s="1553"/>
      <c r="R17" s="1553"/>
      <c r="S17" s="1553"/>
      <c r="T17" s="1553"/>
      <c r="U17" s="1553"/>
      <c r="V17" s="1718"/>
      <c r="W17" s="1567"/>
    </row>
    <row r="18" spans="1:23" ht="15" customHeight="1">
      <c r="A18" s="2896"/>
      <c r="B18" s="1538" t="s">
        <v>476</v>
      </c>
      <c r="C18" s="1538"/>
      <c r="D18" s="1552">
        <v>0</v>
      </c>
      <c r="E18" s="1552"/>
      <c r="F18" s="1553">
        <v>0</v>
      </c>
      <c r="G18" s="1553"/>
      <c r="H18" s="1552">
        <v>0</v>
      </c>
      <c r="I18" s="1552"/>
      <c r="J18" s="1553">
        <v>0</v>
      </c>
      <c r="K18" s="1553"/>
      <c r="L18" s="1553">
        <v>0</v>
      </c>
      <c r="M18" s="1553"/>
      <c r="N18" s="1553">
        <v>0</v>
      </c>
      <c r="O18" s="1553"/>
      <c r="P18" s="1553">
        <v>0</v>
      </c>
      <c r="Q18" s="1553"/>
      <c r="R18" s="1553">
        <f>ROUND(SUM(D18:Q18),0)</f>
        <v>0</v>
      </c>
      <c r="S18" s="1553"/>
      <c r="T18" s="1554">
        <v>275719</v>
      </c>
      <c r="U18" s="1554"/>
      <c r="V18" s="1554">
        <f>SUM(R18-T18,0)</f>
        <v>-275719</v>
      </c>
      <c r="W18" s="1555"/>
    </row>
    <row r="19" spans="1:23" ht="15" customHeight="1">
      <c r="A19" s="2896"/>
      <c r="B19" s="1538" t="s">
        <v>477</v>
      </c>
      <c r="C19" s="1538"/>
      <c r="D19" s="1552">
        <v>0</v>
      </c>
      <c r="E19" s="1552"/>
      <c r="F19" s="1553">
        <v>0</v>
      </c>
      <c r="G19" s="1553"/>
      <c r="H19" s="1552">
        <v>0</v>
      </c>
      <c r="I19" s="1552"/>
      <c r="J19" s="1553">
        <v>0</v>
      </c>
      <c r="K19" s="1553"/>
      <c r="L19" s="1553">
        <v>0</v>
      </c>
      <c r="M19" s="1553"/>
      <c r="N19" s="1553">
        <v>0</v>
      </c>
      <c r="O19" s="1553"/>
      <c r="P19" s="1553">
        <v>0</v>
      </c>
      <c r="Q19" s="1553"/>
      <c r="R19" s="1553">
        <f t="shared" ref="R19:R37" si="0">ROUND(SUM(D19:Q19),0)</f>
        <v>0</v>
      </c>
      <c r="S19" s="1553"/>
      <c r="T19" s="1554">
        <v>0</v>
      </c>
      <c r="U19" s="1554"/>
      <c r="V19" s="1554">
        <f t="shared" ref="V19:V37" si="1">SUM(R19-T19,0)</f>
        <v>0</v>
      </c>
      <c r="W19" s="1555"/>
    </row>
    <row r="20" spans="1:23" ht="15" customHeight="1">
      <c r="A20" s="2896"/>
      <c r="B20" s="1538" t="s">
        <v>1698</v>
      </c>
      <c r="C20" s="1538"/>
      <c r="D20" s="1552">
        <v>0</v>
      </c>
      <c r="E20" s="1552"/>
      <c r="F20" s="1553">
        <v>0</v>
      </c>
      <c r="G20" s="1553"/>
      <c r="H20" s="1552">
        <v>0</v>
      </c>
      <c r="I20" s="1552"/>
      <c r="J20" s="1553">
        <v>0</v>
      </c>
      <c r="K20" s="1553"/>
      <c r="L20" s="1553">
        <v>0</v>
      </c>
      <c r="M20" s="1553"/>
      <c r="N20" s="1553">
        <v>490701645</v>
      </c>
      <c r="O20" s="1553"/>
      <c r="P20" s="1553">
        <v>22740335</v>
      </c>
      <c r="Q20" s="1553"/>
      <c r="R20" s="1553">
        <f t="shared" si="0"/>
        <v>513441980</v>
      </c>
      <c r="S20" s="1553"/>
      <c r="T20" s="1554">
        <v>0</v>
      </c>
      <c r="U20" s="1554"/>
      <c r="V20" s="1554">
        <f t="shared" si="1"/>
        <v>513441980</v>
      </c>
      <c r="W20" s="1555"/>
    </row>
    <row r="21" spans="1:23" ht="16.5">
      <c r="A21" s="2896"/>
      <c r="B21" s="1538" t="s">
        <v>1312</v>
      </c>
      <c r="C21" s="1538"/>
      <c r="D21" s="1552">
        <v>0</v>
      </c>
      <c r="E21" s="1552"/>
      <c r="F21" s="1553">
        <v>0</v>
      </c>
      <c r="G21" s="1553"/>
      <c r="H21" s="1552">
        <v>0</v>
      </c>
      <c r="I21" s="1552"/>
      <c r="J21" s="1553">
        <v>0</v>
      </c>
      <c r="K21" s="1553"/>
      <c r="L21" s="1553">
        <v>0</v>
      </c>
      <c r="M21" s="1553"/>
      <c r="N21" s="1553">
        <v>0</v>
      </c>
      <c r="O21" s="1553"/>
      <c r="P21" s="1553">
        <v>0</v>
      </c>
      <c r="Q21" s="1553"/>
      <c r="R21" s="1553">
        <f t="shared" si="0"/>
        <v>0</v>
      </c>
      <c r="S21" s="1553"/>
      <c r="T21" s="1554">
        <v>4779467</v>
      </c>
      <c r="U21" s="1554"/>
      <c r="V21" s="1554">
        <f t="shared" si="1"/>
        <v>-4779467</v>
      </c>
      <c r="W21" s="1555"/>
    </row>
    <row r="22" spans="1:23" ht="15" customHeight="1">
      <c r="A22" s="2896"/>
      <c r="B22" s="1538" t="s">
        <v>478</v>
      </c>
      <c r="C22" s="1538"/>
      <c r="D22" s="1552">
        <v>0</v>
      </c>
      <c r="E22" s="1552"/>
      <c r="F22" s="1553">
        <v>0</v>
      </c>
      <c r="G22" s="1553"/>
      <c r="H22" s="1553">
        <v>14101613</v>
      </c>
      <c r="I22" s="1553"/>
      <c r="J22" s="1553">
        <v>0</v>
      </c>
      <c r="K22" s="1553"/>
      <c r="L22" s="1553">
        <v>0</v>
      </c>
      <c r="M22" s="1553"/>
      <c r="N22" s="1553">
        <v>0</v>
      </c>
      <c r="O22" s="1553"/>
      <c r="P22" s="1553">
        <v>0</v>
      </c>
      <c r="Q22" s="1553"/>
      <c r="R22" s="1553">
        <f t="shared" si="0"/>
        <v>14101613</v>
      </c>
      <c r="S22" s="1553"/>
      <c r="T22" s="1554">
        <v>14106370</v>
      </c>
      <c r="U22" s="1554"/>
      <c r="V22" s="1554">
        <f t="shared" si="1"/>
        <v>-4757</v>
      </c>
      <c r="W22" s="1555"/>
    </row>
    <row r="23" spans="1:23" ht="15" customHeight="1">
      <c r="A23" s="2896"/>
      <c r="B23" s="1538" t="s">
        <v>479</v>
      </c>
      <c r="C23" s="1538"/>
      <c r="D23" s="1552">
        <v>0</v>
      </c>
      <c r="E23" s="1552"/>
      <c r="F23" s="1553">
        <v>0</v>
      </c>
      <c r="G23" s="1553"/>
      <c r="H23" s="1552">
        <v>0</v>
      </c>
      <c r="I23" s="1552"/>
      <c r="J23" s="1553">
        <v>0</v>
      </c>
      <c r="K23" s="1553"/>
      <c r="L23" s="1553">
        <v>0</v>
      </c>
      <c r="M23" s="1553"/>
      <c r="N23" s="1553">
        <v>0</v>
      </c>
      <c r="O23" s="1553"/>
      <c r="P23" s="1553">
        <v>0</v>
      </c>
      <c r="Q23" s="1553"/>
      <c r="R23" s="1553">
        <f t="shared" si="0"/>
        <v>0</v>
      </c>
      <c r="S23" s="1553"/>
      <c r="T23" s="1554">
        <v>7976074</v>
      </c>
      <c r="U23" s="1554"/>
      <c r="V23" s="1554">
        <f t="shared" si="1"/>
        <v>-7976074</v>
      </c>
      <c r="W23" s="1555"/>
    </row>
    <row r="24" spans="1:23" ht="15" customHeight="1">
      <c r="A24" s="2896"/>
      <c r="B24" s="1538" t="s">
        <v>480</v>
      </c>
      <c r="C24" s="1538"/>
      <c r="D24" s="1552">
        <v>0</v>
      </c>
      <c r="E24" s="1552"/>
      <c r="F24" s="1553">
        <v>0</v>
      </c>
      <c r="G24" s="1553"/>
      <c r="H24" s="1552">
        <v>0</v>
      </c>
      <c r="I24" s="1552"/>
      <c r="J24" s="1553">
        <v>0</v>
      </c>
      <c r="K24" s="1553"/>
      <c r="L24" s="1553">
        <v>0</v>
      </c>
      <c r="M24" s="1553"/>
      <c r="N24" s="1553">
        <v>0</v>
      </c>
      <c r="O24" s="1553"/>
      <c r="P24" s="1553">
        <v>0</v>
      </c>
      <c r="Q24" s="1553"/>
      <c r="R24" s="1553">
        <f t="shared" si="0"/>
        <v>0</v>
      </c>
      <c r="S24" s="1553"/>
      <c r="T24" s="1554">
        <v>130950881</v>
      </c>
      <c r="U24" s="1554"/>
      <c r="V24" s="1554">
        <f t="shared" si="1"/>
        <v>-130950881</v>
      </c>
      <c r="W24" s="1555"/>
    </row>
    <row r="25" spans="1:23" ht="15" customHeight="1">
      <c r="A25" s="2896"/>
      <c r="B25" s="1538" t="s">
        <v>481</v>
      </c>
      <c r="C25" s="1538"/>
      <c r="D25" s="1552">
        <v>0</v>
      </c>
      <c r="E25" s="1552"/>
      <c r="F25" s="1553">
        <v>0</v>
      </c>
      <c r="G25" s="1553"/>
      <c r="H25" s="1552">
        <v>0</v>
      </c>
      <c r="I25" s="1552"/>
      <c r="J25" s="1553">
        <v>0</v>
      </c>
      <c r="K25" s="1553"/>
      <c r="L25" s="1553">
        <v>0</v>
      </c>
      <c r="M25" s="1553"/>
      <c r="N25" s="1553">
        <v>0</v>
      </c>
      <c r="O25" s="1553"/>
      <c r="P25" s="1553">
        <v>0</v>
      </c>
      <c r="Q25" s="1553"/>
      <c r="R25" s="1553">
        <f t="shared" si="0"/>
        <v>0</v>
      </c>
      <c r="S25" s="1553"/>
      <c r="T25" s="1554">
        <v>376560109</v>
      </c>
      <c r="U25" s="1554"/>
      <c r="V25" s="1554">
        <f t="shared" si="1"/>
        <v>-376560109</v>
      </c>
      <c r="W25" s="1555"/>
    </row>
    <row r="26" spans="1:23" ht="15" customHeight="1">
      <c r="A26" s="2896"/>
      <c r="B26" s="1538" t="s">
        <v>482</v>
      </c>
      <c r="C26" s="1538"/>
      <c r="D26" s="1552">
        <v>0</v>
      </c>
      <c r="E26" s="1552"/>
      <c r="F26" s="1553">
        <v>0</v>
      </c>
      <c r="G26" s="1553"/>
      <c r="H26" s="1552">
        <v>0</v>
      </c>
      <c r="I26" s="1552"/>
      <c r="J26" s="1553">
        <v>0</v>
      </c>
      <c r="K26" s="1553"/>
      <c r="L26" s="1553">
        <v>0</v>
      </c>
      <c r="M26" s="1553"/>
      <c r="N26" s="1553">
        <v>0</v>
      </c>
      <c r="O26" s="1553"/>
      <c r="P26" s="1553">
        <v>0</v>
      </c>
      <c r="Q26" s="1553"/>
      <c r="R26" s="1553">
        <f t="shared" si="0"/>
        <v>0</v>
      </c>
      <c r="S26" s="1553"/>
      <c r="T26" s="1555">
        <v>2822019</v>
      </c>
      <c r="U26" s="1555"/>
      <c r="V26" s="1554">
        <f t="shared" si="1"/>
        <v>-2822019</v>
      </c>
      <c r="W26" s="1555"/>
    </row>
    <row r="27" spans="1:23" ht="15" customHeight="1">
      <c r="A27" s="2896"/>
      <c r="B27" s="1538" t="s">
        <v>1360</v>
      </c>
      <c r="C27" s="1538"/>
      <c r="D27" s="1552">
        <v>0</v>
      </c>
      <c r="E27" s="1552"/>
      <c r="F27" s="1553">
        <v>0</v>
      </c>
      <c r="G27" s="1553"/>
      <c r="H27" s="1552">
        <v>0</v>
      </c>
      <c r="I27" s="1552"/>
      <c r="J27" s="1553">
        <v>0</v>
      </c>
      <c r="K27" s="1553"/>
      <c r="L27" s="1553">
        <v>93624429</v>
      </c>
      <c r="M27" s="1553"/>
      <c r="N27" s="1553">
        <v>0</v>
      </c>
      <c r="O27" s="1553"/>
      <c r="P27" s="1553">
        <v>0</v>
      </c>
      <c r="Q27" s="1553"/>
      <c r="R27" s="1553">
        <f t="shared" si="0"/>
        <v>93624429</v>
      </c>
      <c r="S27" s="1553"/>
      <c r="T27" s="1555">
        <v>106084898</v>
      </c>
      <c r="U27" s="1555"/>
      <c r="V27" s="1554">
        <f t="shared" si="1"/>
        <v>-12460469</v>
      </c>
      <c r="W27" s="1555"/>
    </row>
    <row r="28" spans="1:23" ht="15" customHeight="1">
      <c r="A28" s="2896"/>
      <c r="B28" s="1538" t="s">
        <v>483</v>
      </c>
      <c r="C28" s="1538"/>
      <c r="D28" s="1552">
        <v>0</v>
      </c>
      <c r="E28" s="1552"/>
      <c r="F28" s="1553">
        <v>0</v>
      </c>
      <c r="G28" s="1553"/>
      <c r="H28" s="1552">
        <v>0</v>
      </c>
      <c r="I28" s="1552"/>
      <c r="J28" s="1553">
        <v>0</v>
      </c>
      <c r="K28" s="1553"/>
      <c r="L28" s="1553">
        <v>0</v>
      </c>
      <c r="M28" s="1553"/>
      <c r="N28" s="1553">
        <v>0</v>
      </c>
      <c r="O28" s="1553"/>
      <c r="P28" s="1553">
        <v>0</v>
      </c>
      <c r="Q28" s="1553"/>
      <c r="R28" s="1553">
        <f t="shared" si="0"/>
        <v>0</v>
      </c>
      <c r="S28" s="1553"/>
      <c r="T28" s="1555">
        <v>474125</v>
      </c>
      <c r="U28" s="1555"/>
      <c r="V28" s="1554">
        <f t="shared" si="1"/>
        <v>-474125</v>
      </c>
      <c r="W28" s="1555"/>
    </row>
    <row r="29" spans="1:23" ht="15" customHeight="1">
      <c r="A29" s="2896"/>
      <c r="B29" s="1538" t="s">
        <v>1223</v>
      </c>
      <c r="C29" s="1538"/>
      <c r="D29" s="1552">
        <v>0</v>
      </c>
      <c r="E29" s="1552"/>
      <c r="F29" s="1553">
        <v>0</v>
      </c>
      <c r="G29" s="1553"/>
      <c r="H29" s="1552">
        <v>0</v>
      </c>
      <c r="I29" s="1552"/>
      <c r="J29" s="1553">
        <v>0</v>
      </c>
      <c r="K29" s="1553"/>
      <c r="L29" s="1553">
        <v>0</v>
      </c>
      <c r="M29" s="1553"/>
      <c r="N29" s="1553">
        <v>0</v>
      </c>
      <c r="O29" s="1553"/>
      <c r="P29" s="1553">
        <v>0</v>
      </c>
      <c r="Q29" s="1553"/>
      <c r="R29" s="1553">
        <f t="shared" si="0"/>
        <v>0</v>
      </c>
      <c r="S29" s="1553"/>
      <c r="T29" s="1555">
        <v>0</v>
      </c>
      <c r="U29" s="1555"/>
      <c r="V29" s="1554">
        <f t="shared" si="1"/>
        <v>0</v>
      </c>
      <c r="W29" s="1555"/>
    </row>
    <row r="30" spans="1:23" ht="15" customHeight="1">
      <c r="A30" s="2896"/>
      <c r="B30" s="1538" t="s">
        <v>1146</v>
      </c>
      <c r="C30" s="1538"/>
      <c r="D30" s="1552">
        <v>0</v>
      </c>
      <c r="E30" s="1552"/>
      <c r="F30" s="1553">
        <v>1635367</v>
      </c>
      <c r="G30" s="1553"/>
      <c r="H30" s="1552">
        <v>0</v>
      </c>
      <c r="I30" s="1552"/>
      <c r="J30" s="1553">
        <v>0</v>
      </c>
      <c r="K30" s="1553"/>
      <c r="L30" s="1553">
        <v>0</v>
      </c>
      <c r="M30" s="1553"/>
      <c r="N30" s="1553">
        <v>0</v>
      </c>
      <c r="O30" s="1553"/>
      <c r="P30" s="1553">
        <v>0</v>
      </c>
      <c r="Q30" s="1553"/>
      <c r="R30" s="1553">
        <f t="shared" si="0"/>
        <v>1635367</v>
      </c>
      <c r="S30" s="1553"/>
      <c r="T30" s="1555">
        <v>0</v>
      </c>
      <c r="U30" s="1555"/>
      <c r="V30" s="1554">
        <f t="shared" si="1"/>
        <v>1635367</v>
      </c>
      <c r="W30" s="1555"/>
    </row>
    <row r="31" spans="1:23" ht="15" customHeight="1">
      <c r="A31" s="2896"/>
      <c r="B31" s="1538" t="s">
        <v>1699</v>
      </c>
      <c r="C31" s="1538"/>
      <c r="D31" s="1552">
        <v>0</v>
      </c>
      <c r="E31" s="1552"/>
      <c r="F31" s="1553">
        <v>0</v>
      </c>
      <c r="G31" s="1553"/>
      <c r="H31" s="1552">
        <v>0</v>
      </c>
      <c r="I31" s="1552"/>
      <c r="J31" s="1553">
        <v>0</v>
      </c>
      <c r="K31" s="1553"/>
      <c r="L31" s="1553">
        <v>0</v>
      </c>
      <c r="M31" s="1553"/>
      <c r="N31" s="1553">
        <v>0</v>
      </c>
      <c r="O31" s="1553"/>
      <c r="P31" s="1553">
        <v>0</v>
      </c>
      <c r="Q31" s="1553"/>
      <c r="R31" s="1553">
        <f t="shared" si="0"/>
        <v>0</v>
      </c>
      <c r="S31" s="1553"/>
      <c r="T31" s="1555">
        <v>916516</v>
      </c>
      <c r="U31" s="1555"/>
      <c r="V31" s="1554">
        <f t="shared" si="1"/>
        <v>-916516</v>
      </c>
      <c r="W31" s="1555"/>
    </row>
    <row r="32" spans="1:23" ht="15" customHeight="1">
      <c r="A32" s="2896"/>
      <c r="B32" s="1538" t="s">
        <v>1361</v>
      </c>
      <c r="C32" s="1538"/>
      <c r="D32" s="1552">
        <v>0</v>
      </c>
      <c r="E32" s="1552"/>
      <c r="F32" s="1553">
        <v>0</v>
      </c>
      <c r="G32" s="1553"/>
      <c r="H32" s="1552">
        <v>0</v>
      </c>
      <c r="I32" s="1552"/>
      <c r="J32" s="1553">
        <v>0</v>
      </c>
      <c r="K32" s="1553"/>
      <c r="L32" s="1553">
        <v>0</v>
      </c>
      <c r="M32" s="1553"/>
      <c r="N32" s="1553">
        <v>0</v>
      </c>
      <c r="O32" s="1553"/>
      <c r="P32" s="1553">
        <v>0</v>
      </c>
      <c r="Q32" s="1553"/>
      <c r="R32" s="1553">
        <f t="shared" si="0"/>
        <v>0</v>
      </c>
      <c r="S32" s="1553"/>
      <c r="T32" s="1554">
        <v>65270</v>
      </c>
      <c r="U32" s="1554"/>
      <c r="V32" s="1554">
        <f t="shared" si="1"/>
        <v>-65270</v>
      </c>
      <c r="W32" s="1555"/>
    </row>
    <row r="33" spans="1:23" ht="15" customHeight="1">
      <c r="A33" s="2896"/>
      <c r="B33" s="1538" t="s">
        <v>485</v>
      </c>
      <c r="C33" s="1538"/>
      <c r="D33" s="1552">
        <v>0</v>
      </c>
      <c r="E33" s="1552"/>
      <c r="F33" s="1553">
        <v>158675</v>
      </c>
      <c r="G33" s="1553"/>
      <c r="H33" s="1552">
        <v>0</v>
      </c>
      <c r="I33" s="1552"/>
      <c r="J33" s="1553">
        <v>0</v>
      </c>
      <c r="K33" s="1553"/>
      <c r="L33" s="1553">
        <v>0</v>
      </c>
      <c r="M33" s="1553"/>
      <c r="N33" s="1553">
        <v>0</v>
      </c>
      <c r="O33" s="1553"/>
      <c r="P33" s="1553">
        <v>0</v>
      </c>
      <c r="Q33" s="1553"/>
      <c r="R33" s="1553">
        <f t="shared" si="0"/>
        <v>158675</v>
      </c>
      <c r="S33" s="1553"/>
      <c r="T33" s="1554">
        <v>28026713</v>
      </c>
      <c r="U33" s="1554"/>
      <c r="V33" s="1554">
        <f t="shared" si="1"/>
        <v>-27868038</v>
      </c>
      <c r="W33" s="1555"/>
    </row>
    <row r="34" spans="1:23" ht="15" customHeight="1">
      <c r="A34" s="2896"/>
      <c r="B34" s="1538" t="s">
        <v>486</v>
      </c>
      <c r="C34" s="1538"/>
      <c r="D34" s="1552">
        <v>0</v>
      </c>
      <c r="E34" s="1552"/>
      <c r="F34" s="1553">
        <v>0</v>
      </c>
      <c r="G34" s="1553"/>
      <c r="H34" s="1552">
        <v>0</v>
      </c>
      <c r="I34" s="1552"/>
      <c r="J34" s="1553">
        <v>0</v>
      </c>
      <c r="K34" s="1553"/>
      <c r="L34" s="1553">
        <v>0</v>
      </c>
      <c r="M34" s="1553"/>
      <c r="N34" s="1553">
        <v>0</v>
      </c>
      <c r="O34" s="1553"/>
      <c r="P34" s="1553">
        <v>0</v>
      </c>
      <c r="Q34" s="1553"/>
      <c r="R34" s="1553">
        <f t="shared" si="0"/>
        <v>0</v>
      </c>
      <c r="S34" s="1553"/>
      <c r="T34" s="1554">
        <v>116219270</v>
      </c>
      <c r="U34" s="1554"/>
      <c r="V34" s="1554">
        <f t="shared" si="1"/>
        <v>-116219270</v>
      </c>
      <c r="W34" s="1555"/>
    </row>
    <row r="35" spans="1:23" ht="15" customHeight="1">
      <c r="A35" s="2896"/>
      <c r="B35" s="1538" t="s">
        <v>487</v>
      </c>
      <c r="C35" s="1538"/>
      <c r="D35" s="1552">
        <v>0</v>
      </c>
      <c r="E35" s="1552"/>
      <c r="F35" s="1553">
        <v>1155107</v>
      </c>
      <c r="G35" s="1553"/>
      <c r="H35" s="1553">
        <v>0</v>
      </c>
      <c r="I35" s="1553"/>
      <c r="J35" s="1553">
        <v>0</v>
      </c>
      <c r="K35" s="1553"/>
      <c r="L35" s="1553">
        <v>0</v>
      </c>
      <c r="M35" s="1553"/>
      <c r="N35" s="1553">
        <v>14456854</v>
      </c>
      <c r="O35" s="1553"/>
      <c r="P35" s="1553">
        <v>0</v>
      </c>
      <c r="Q35" s="1553"/>
      <c r="R35" s="1553">
        <f t="shared" si="0"/>
        <v>15611961</v>
      </c>
      <c r="S35" s="1553"/>
      <c r="T35" s="1554">
        <v>19078380</v>
      </c>
      <c r="U35" s="1554"/>
      <c r="V35" s="1554">
        <f t="shared" si="1"/>
        <v>-3466419</v>
      </c>
      <c r="W35" s="1555"/>
    </row>
    <row r="36" spans="1:23" ht="15" customHeight="1">
      <c r="A36" s="2896"/>
      <c r="B36" s="1538" t="s">
        <v>488</v>
      </c>
      <c r="C36" s="1538"/>
      <c r="D36" s="1552">
        <v>0</v>
      </c>
      <c r="E36" s="1552"/>
      <c r="F36" s="1553">
        <v>30306639</v>
      </c>
      <c r="G36" s="1553"/>
      <c r="H36" s="1719">
        <v>0</v>
      </c>
      <c r="I36" s="1719"/>
      <c r="J36" s="1553">
        <v>0</v>
      </c>
      <c r="K36" s="1553"/>
      <c r="L36" s="1553">
        <v>0</v>
      </c>
      <c r="M36" s="1553"/>
      <c r="N36" s="1553">
        <v>34850530</v>
      </c>
      <c r="O36" s="1553"/>
      <c r="P36" s="1553">
        <v>0</v>
      </c>
      <c r="Q36" s="1553"/>
      <c r="R36" s="1553">
        <f t="shared" si="0"/>
        <v>65157169</v>
      </c>
      <c r="S36" s="1553"/>
      <c r="T36" s="1554">
        <v>60686766</v>
      </c>
      <c r="U36" s="1554"/>
      <c r="V36" s="1554">
        <f t="shared" si="1"/>
        <v>4470403</v>
      </c>
      <c r="W36" s="1555"/>
    </row>
    <row r="37" spans="1:23" ht="15" customHeight="1">
      <c r="A37" s="2896"/>
      <c r="B37" s="1538" t="s">
        <v>489</v>
      </c>
      <c r="C37" s="1538"/>
      <c r="D37" s="1552">
        <v>0</v>
      </c>
      <c r="E37" s="1552"/>
      <c r="F37" s="1553">
        <v>0</v>
      </c>
      <c r="G37" s="1553"/>
      <c r="H37" s="1720">
        <v>0</v>
      </c>
      <c r="I37" s="1720"/>
      <c r="J37" s="1553">
        <v>52379794</v>
      </c>
      <c r="K37" s="1553"/>
      <c r="L37" s="1553">
        <v>0</v>
      </c>
      <c r="M37" s="1553"/>
      <c r="N37" s="1553">
        <v>0</v>
      </c>
      <c r="O37" s="1553"/>
      <c r="P37" s="1553">
        <v>0</v>
      </c>
      <c r="Q37" s="1553"/>
      <c r="R37" s="1553">
        <f t="shared" si="0"/>
        <v>52379794</v>
      </c>
      <c r="S37" s="1553"/>
      <c r="T37" s="1554">
        <v>57425366</v>
      </c>
      <c r="U37" s="1554"/>
      <c r="V37" s="1554">
        <f t="shared" si="1"/>
        <v>-5045572</v>
      </c>
      <c r="W37" s="1555"/>
    </row>
    <row r="38" spans="1:23" ht="15" customHeight="1">
      <c r="A38" s="2896"/>
      <c r="B38" s="1538" t="s">
        <v>490</v>
      </c>
      <c r="C38" s="1538"/>
      <c r="D38" s="1719" t="s">
        <v>16</v>
      </c>
      <c r="E38" s="1719"/>
      <c r="F38" s="1553" t="s">
        <v>16</v>
      </c>
      <c r="G38" s="1553"/>
      <c r="H38" s="1719"/>
      <c r="I38" s="1719"/>
      <c r="J38" s="1553"/>
      <c r="K38" s="1553"/>
      <c r="L38" s="1553"/>
      <c r="M38" s="1553"/>
      <c r="N38" s="1553"/>
      <c r="O38" s="1553"/>
      <c r="P38" s="1553"/>
      <c r="Q38" s="1553"/>
      <c r="R38" s="1553"/>
      <c r="S38" s="1553"/>
      <c r="T38" s="1554"/>
      <c r="U38" s="1554"/>
      <c r="V38" s="1553"/>
      <c r="W38" s="1557"/>
    </row>
    <row r="39" spans="1:23" ht="15" customHeight="1">
      <c r="A39" s="2896"/>
      <c r="B39" s="1538" t="s">
        <v>491</v>
      </c>
      <c r="C39" s="1538"/>
      <c r="D39" s="1720">
        <v>0</v>
      </c>
      <c r="E39" s="1720"/>
      <c r="F39" s="1553">
        <v>37811550</v>
      </c>
      <c r="G39" s="1553"/>
      <c r="H39" s="1720">
        <v>0</v>
      </c>
      <c r="I39" s="1720"/>
      <c r="J39" s="1553">
        <v>0</v>
      </c>
      <c r="K39" s="1553"/>
      <c r="L39" s="1553">
        <v>0</v>
      </c>
      <c r="M39" s="1553"/>
      <c r="N39" s="1553">
        <v>0</v>
      </c>
      <c r="O39" s="1553"/>
      <c r="P39" s="1553">
        <v>0</v>
      </c>
      <c r="Q39" s="1553"/>
      <c r="R39" s="1553">
        <f>ROUND(SUM(D39:Q39),0)</f>
        <v>37811550</v>
      </c>
      <c r="S39" s="1553"/>
      <c r="T39" s="1554">
        <v>34257425</v>
      </c>
      <c r="U39" s="1554"/>
      <c r="V39" s="1554">
        <f>SUM(R39-T39,0)</f>
        <v>3554125</v>
      </c>
      <c r="W39" s="1555"/>
    </row>
    <row r="40" spans="1:23" ht="15" customHeight="1">
      <c r="A40" s="2896"/>
      <c r="B40" s="1538" t="s">
        <v>1284</v>
      </c>
      <c r="C40" s="1538"/>
      <c r="D40" s="1552"/>
      <c r="E40" s="1552"/>
      <c r="F40" s="1553"/>
      <c r="G40" s="1553"/>
      <c r="H40" s="1552"/>
      <c r="I40" s="1552"/>
      <c r="J40" s="1553"/>
      <c r="K40" s="1553"/>
      <c r="L40" s="1553"/>
      <c r="M40" s="1553"/>
      <c r="N40" s="1553"/>
      <c r="O40" s="1553"/>
      <c r="P40" s="1553"/>
      <c r="Q40" s="1553"/>
      <c r="R40" s="1553"/>
      <c r="S40" s="1553"/>
      <c r="T40" s="1554"/>
      <c r="U40" s="1554"/>
      <c r="V40" s="1553"/>
      <c r="W40" s="1557"/>
    </row>
    <row r="41" spans="1:23" ht="15" customHeight="1">
      <c r="A41" s="2896"/>
      <c r="B41" s="1538" t="s">
        <v>1283</v>
      </c>
      <c r="C41" s="1538"/>
      <c r="D41" s="1552">
        <v>0</v>
      </c>
      <c r="E41" s="1552"/>
      <c r="F41" s="1553">
        <v>516802342</v>
      </c>
      <c r="G41" s="1553"/>
      <c r="H41" s="1552">
        <v>0</v>
      </c>
      <c r="I41" s="1552"/>
      <c r="J41" s="1553">
        <v>0</v>
      </c>
      <c r="K41" s="1553"/>
      <c r="L41" s="1553">
        <v>0</v>
      </c>
      <c r="M41" s="1553"/>
      <c r="N41" s="1553">
        <v>0</v>
      </c>
      <c r="O41" s="1553"/>
      <c r="P41" s="1553">
        <v>0</v>
      </c>
      <c r="Q41" s="1553"/>
      <c r="R41" s="1553">
        <f>ROUND(SUM(D41:Q41),0)</f>
        <v>516802342</v>
      </c>
      <c r="S41" s="1553"/>
      <c r="T41" s="1554">
        <v>597298383</v>
      </c>
      <c r="U41" s="1554"/>
      <c r="V41" s="1554">
        <f t="shared" ref="V41:V59" si="2">SUM(R41-T41,0)</f>
        <v>-80496041</v>
      </c>
      <c r="W41" s="1555"/>
    </row>
    <row r="42" spans="1:23" ht="16.5">
      <c r="A42" s="2896"/>
      <c r="B42" s="1538" t="s">
        <v>1282</v>
      </c>
      <c r="C42" s="1538"/>
      <c r="D42" s="1552">
        <v>0</v>
      </c>
      <c r="E42" s="1552"/>
      <c r="F42" s="1553">
        <v>92023450</v>
      </c>
      <c r="G42" s="1553"/>
      <c r="H42" s="1719">
        <v>0</v>
      </c>
      <c r="I42" s="1719"/>
      <c r="J42" s="1553">
        <v>0</v>
      </c>
      <c r="K42" s="1553"/>
      <c r="L42" s="1553">
        <v>0</v>
      </c>
      <c r="M42" s="1553"/>
      <c r="N42" s="1553">
        <v>0</v>
      </c>
      <c r="O42" s="1553"/>
      <c r="P42" s="1553">
        <v>0</v>
      </c>
      <c r="Q42" s="1553"/>
      <c r="R42" s="1553">
        <f>ROUND(SUM(D42:Q42),0)</f>
        <v>92023450</v>
      </c>
      <c r="S42" s="1553"/>
      <c r="T42" s="1554">
        <v>95441800</v>
      </c>
      <c r="U42" s="1554"/>
      <c r="V42" s="1554">
        <f t="shared" si="2"/>
        <v>-3418350</v>
      </c>
      <c r="W42" s="1555"/>
    </row>
    <row r="43" spans="1:23" ht="15" customHeight="1">
      <c r="A43" s="2896"/>
      <c r="B43" s="1538" t="s">
        <v>1224</v>
      </c>
      <c r="C43" s="1538"/>
      <c r="D43" s="1552">
        <v>0</v>
      </c>
      <c r="E43" s="1552"/>
      <c r="F43" s="1553">
        <v>0</v>
      </c>
      <c r="G43" s="1553"/>
      <c r="H43" s="1720">
        <v>0</v>
      </c>
      <c r="I43" s="1720"/>
      <c r="J43" s="1553">
        <v>0</v>
      </c>
      <c r="K43" s="1553"/>
      <c r="L43" s="1553">
        <v>0</v>
      </c>
      <c r="M43" s="1553"/>
      <c r="N43" s="1553">
        <v>71068075</v>
      </c>
      <c r="O43" s="1553"/>
      <c r="P43" s="1553">
        <v>0</v>
      </c>
      <c r="Q43" s="1553"/>
      <c r="R43" s="1553">
        <f>ROUND(SUM(D43:Q43),0)</f>
        <v>71068075</v>
      </c>
      <c r="S43" s="1553"/>
      <c r="T43" s="1554">
        <v>73893575</v>
      </c>
      <c r="U43" s="1554"/>
      <c r="V43" s="1554">
        <f t="shared" si="2"/>
        <v>-2825500</v>
      </c>
      <c r="W43" s="1555"/>
    </row>
    <row r="44" spans="1:23" ht="15" customHeight="1">
      <c r="A44" s="2896"/>
      <c r="B44" s="1538" t="s">
        <v>492</v>
      </c>
      <c r="C44" s="1538"/>
      <c r="D44" s="1552"/>
      <c r="E44" s="1552"/>
      <c r="F44" s="1556" t="s">
        <v>16</v>
      </c>
      <c r="G44" s="1556"/>
      <c r="H44" s="1552"/>
      <c r="I44" s="1552"/>
      <c r="J44" s="1553"/>
      <c r="K44" s="1553"/>
      <c r="L44" s="1553"/>
      <c r="M44" s="1553"/>
      <c r="N44" s="1553"/>
      <c r="O44" s="1553"/>
      <c r="P44" s="1553"/>
      <c r="Q44" s="1553"/>
      <c r="R44" s="1553"/>
      <c r="S44" s="1553"/>
      <c r="T44" s="1554"/>
      <c r="U44" s="1554"/>
      <c r="V44" s="1553"/>
      <c r="W44" s="1557"/>
    </row>
    <row r="45" spans="1:23" ht="15" customHeight="1">
      <c r="A45" s="2896"/>
      <c r="B45" s="1538" t="s">
        <v>1700</v>
      </c>
      <c r="C45" s="1538"/>
      <c r="D45" s="1552">
        <v>0</v>
      </c>
      <c r="E45" s="1552"/>
      <c r="F45" s="1553">
        <v>0</v>
      </c>
      <c r="G45" s="1553"/>
      <c r="H45" s="1552">
        <v>0</v>
      </c>
      <c r="I45" s="1552"/>
      <c r="J45" s="1553">
        <v>0</v>
      </c>
      <c r="K45" s="1553"/>
      <c r="L45" s="1553">
        <v>0</v>
      </c>
      <c r="M45" s="1553"/>
      <c r="N45" s="1553">
        <v>0</v>
      </c>
      <c r="O45" s="1553"/>
      <c r="P45" s="1553">
        <v>0</v>
      </c>
      <c r="Q45" s="1553"/>
      <c r="R45" s="1553">
        <f t="shared" ref="R45:R55" si="3">ROUND(SUM(D45:Q45),0)</f>
        <v>0</v>
      </c>
      <c r="S45" s="1553"/>
      <c r="T45" s="1554">
        <v>0</v>
      </c>
      <c r="U45" s="1554"/>
      <c r="V45" s="1554">
        <f t="shared" si="2"/>
        <v>0</v>
      </c>
      <c r="W45" s="1555"/>
    </row>
    <row r="46" spans="1:23" ht="15" customHeight="1">
      <c r="A46" s="2896"/>
      <c r="B46" s="1538" t="s">
        <v>493</v>
      </c>
      <c r="C46" s="1538"/>
      <c r="D46" s="1552">
        <v>0</v>
      </c>
      <c r="E46" s="1552"/>
      <c r="F46" s="1553">
        <v>0</v>
      </c>
      <c r="G46" s="1553"/>
      <c r="H46" s="1552">
        <v>0</v>
      </c>
      <c r="I46" s="1552"/>
      <c r="J46" s="1553">
        <v>0</v>
      </c>
      <c r="K46" s="1553"/>
      <c r="L46" s="1553">
        <v>0</v>
      </c>
      <c r="M46" s="1553"/>
      <c r="N46" s="1553">
        <v>0</v>
      </c>
      <c r="O46" s="1553"/>
      <c r="P46" s="1553">
        <v>0</v>
      </c>
      <c r="Q46" s="1553"/>
      <c r="R46" s="1553">
        <f t="shared" si="3"/>
        <v>0</v>
      </c>
      <c r="S46" s="1553"/>
      <c r="T46" s="1555">
        <v>159913</v>
      </c>
      <c r="U46" s="1555"/>
      <c r="V46" s="1554">
        <f t="shared" si="2"/>
        <v>-159913</v>
      </c>
      <c r="W46" s="1555"/>
    </row>
    <row r="47" spans="1:23" ht="15" customHeight="1">
      <c r="A47" s="2896"/>
      <c r="B47" s="1722" t="s">
        <v>494</v>
      </c>
      <c r="C47" s="1721"/>
      <c r="D47" s="1552">
        <v>0</v>
      </c>
      <c r="E47" s="1552"/>
      <c r="F47" s="1553">
        <v>0</v>
      </c>
      <c r="G47" s="1553"/>
      <c r="H47" s="1552">
        <v>0</v>
      </c>
      <c r="I47" s="1552"/>
      <c r="J47" s="1553">
        <v>0</v>
      </c>
      <c r="K47" s="1553"/>
      <c r="L47" s="1553">
        <v>0</v>
      </c>
      <c r="M47" s="1553"/>
      <c r="N47" s="1553">
        <v>0</v>
      </c>
      <c r="O47" s="1553"/>
      <c r="P47" s="1553">
        <v>0</v>
      </c>
      <c r="Q47" s="1553"/>
      <c r="R47" s="1553">
        <f t="shared" si="3"/>
        <v>0</v>
      </c>
      <c r="S47" s="1553"/>
      <c r="T47" s="1555">
        <v>3719000</v>
      </c>
      <c r="U47" s="1555"/>
      <c r="V47" s="1554">
        <f t="shared" si="2"/>
        <v>-3719000</v>
      </c>
      <c r="W47" s="1555"/>
    </row>
    <row r="48" spans="1:23" ht="15" customHeight="1">
      <c r="A48" s="2896"/>
      <c r="B48" s="1723" t="s">
        <v>495</v>
      </c>
      <c r="C48" s="1723"/>
      <c r="D48" s="1558">
        <v>0</v>
      </c>
      <c r="E48" s="1558"/>
      <c r="F48" s="1557">
        <v>0</v>
      </c>
      <c r="G48" s="1557"/>
      <c r="H48" s="1558">
        <v>0</v>
      </c>
      <c r="I48" s="1558"/>
      <c r="J48" s="1557">
        <v>0</v>
      </c>
      <c r="K48" s="1557"/>
      <c r="L48" s="1557">
        <v>0</v>
      </c>
      <c r="M48" s="1557"/>
      <c r="N48" s="1557">
        <v>0</v>
      </c>
      <c r="O48" s="1557"/>
      <c r="P48" s="1557">
        <v>0</v>
      </c>
      <c r="Q48" s="1557"/>
      <c r="R48" s="1553">
        <f t="shared" si="3"/>
        <v>0</v>
      </c>
      <c r="S48" s="1553"/>
      <c r="T48" s="1554">
        <v>0</v>
      </c>
      <c r="U48" s="1554"/>
      <c r="V48" s="1554">
        <f t="shared" si="2"/>
        <v>0</v>
      </c>
      <c r="W48" s="1555"/>
    </row>
    <row r="49" spans="1:25" ht="15" customHeight="1">
      <c r="A49" s="2896"/>
      <c r="B49" s="1538" t="s">
        <v>477</v>
      </c>
      <c r="C49" s="1538"/>
      <c r="D49" s="1552">
        <v>0</v>
      </c>
      <c r="E49" s="1552"/>
      <c r="F49" s="1553">
        <v>0</v>
      </c>
      <c r="G49" s="1553"/>
      <c r="H49" s="1552">
        <v>0</v>
      </c>
      <c r="I49" s="1552"/>
      <c r="J49" s="1553">
        <v>0</v>
      </c>
      <c r="K49" s="1553"/>
      <c r="L49" s="1553">
        <v>0</v>
      </c>
      <c r="M49" s="1553"/>
      <c r="N49" s="1553">
        <v>0</v>
      </c>
      <c r="O49" s="1553"/>
      <c r="P49" s="1553">
        <v>0</v>
      </c>
      <c r="Q49" s="1553"/>
      <c r="R49" s="1553">
        <f t="shared" si="3"/>
        <v>0</v>
      </c>
      <c r="S49" s="1553"/>
      <c r="T49" s="1555">
        <v>62634127</v>
      </c>
      <c r="U49" s="1555"/>
      <c r="V49" s="1554">
        <f t="shared" si="2"/>
        <v>-62634127</v>
      </c>
      <c r="W49" s="1555"/>
    </row>
    <row r="50" spans="1:25" ht="16.5">
      <c r="A50" s="2896"/>
      <c r="B50" s="1722" t="s">
        <v>496</v>
      </c>
      <c r="C50" s="1721"/>
      <c r="D50" s="1552">
        <v>0</v>
      </c>
      <c r="E50" s="1552"/>
      <c r="F50" s="1553">
        <v>0</v>
      </c>
      <c r="G50" s="1553"/>
      <c r="H50" s="1552">
        <v>0</v>
      </c>
      <c r="I50" s="1552"/>
      <c r="J50" s="1553">
        <v>0</v>
      </c>
      <c r="K50" s="1553"/>
      <c r="L50" s="1553">
        <v>0</v>
      </c>
      <c r="M50" s="1553"/>
      <c r="N50" s="1553">
        <v>0</v>
      </c>
      <c r="O50" s="1553"/>
      <c r="P50" s="1553">
        <v>0</v>
      </c>
      <c r="Q50" s="1553"/>
      <c r="R50" s="1553">
        <f t="shared" si="3"/>
        <v>0</v>
      </c>
      <c r="S50" s="1553"/>
      <c r="T50" s="1554">
        <v>493000</v>
      </c>
      <c r="U50" s="1554"/>
      <c r="V50" s="1554">
        <f t="shared" si="2"/>
        <v>-493000</v>
      </c>
      <c r="W50" s="1555"/>
    </row>
    <row r="51" spans="1:25" ht="15" customHeight="1">
      <c r="A51" s="2896"/>
      <c r="B51" s="1705" t="s">
        <v>497</v>
      </c>
      <c r="C51" s="1705"/>
      <c r="D51" s="1559">
        <v>0</v>
      </c>
      <c r="E51" s="1559"/>
      <c r="F51" s="1553">
        <v>0</v>
      </c>
      <c r="G51" s="1553"/>
      <c r="H51" s="1552">
        <v>0</v>
      </c>
      <c r="I51" s="1552"/>
      <c r="J51" s="1553">
        <v>0</v>
      </c>
      <c r="K51" s="1553"/>
      <c r="L51" s="1553">
        <v>0</v>
      </c>
      <c r="M51" s="1553"/>
      <c r="N51" s="1553">
        <v>0</v>
      </c>
      <c r="O51" s="1553"/>
      <c r="P51" s="1553">
        <v>0</v>
      </c>
      <c r="Q51" s="1553"/>
      <c r="R51" s="1553">
        <f t="shared" si="3"/>
        <v>0</v>
      </c>
      <c r="S51" s="1553"/>
      <c r="T51" s="1554">
        <v>4187685</v>
      </c>
      <c r="U51" s="1554"/>
      <c r="V51" s="1554">
        <f t="shared" si="2"/>
        <v>-4187685</v>
      </c>
      <c r="W51" s="1555"/>
    </row>
    <row r="52" spans="1:25" customFormat="1" ht="15" customHeight="1">
      <c r="B52" t="s">
        <v>1582</v>
      </c>
      <c r="D52" s="3189">
        <v>0</v>
      </c>
      <c r="E52" s="3189"/>
      <c r="F52" s="3190">
        <v>0</v>
      </c>
      <c r="G52" s="3190"/>
      <c r="H52" s="3191">
        <v>0</v>
      </c>
      <c r="I52" s="3191"/>
      <c r="J52" s="3190">
        <v>0</v>
      </c>
      <c r="K52" s="3190"/>
      <c r="L52" s="3190">
        <v>0</v>
      </c>
      <c r="M52" s="3190"/>
      <c r="N52" s="3190">
        <v>0</v>
      </c>
      <c r="O52" s="3190"/>
      <c r="P52" s="3190">
        <v>0</v>
      </c>
      <c r="R52" s="3190">
        <f>ROUND(SUM(D52:Q52),0)</f>
        <v>0</v>
      </c>
      <c r="T52" s="3192">
        <v>0</v>
      </c>
      <c r="V52" s="3192">
        <f>SUM(R52-T52,0)</f>
        <v>0</v>
      </c>
    </row>
    <row r="53" spans="1:25" ht="15" customHeight="1">
      <c r="A53" s="2896"/>
      <c r="B53" s="1705" t="s">
        <v>479</v>
      </c>
      <c r="C53" s="1705"/>
      <c r="D53" s="1558">
        <v>0</v>
      </c>
      <c r="E53" s="1558"/>
      <c r="F53" s="1557">
        <v>0</v>
      </c>
      <c r="G53" s="1557"/>
      <c r="H53" s="1724">
        <v>0</v>
      </c>
      <c r="I53" s="1724"/>
      <c r="J53" s="1557">
        <v>0</v>
      </c>
      <c r="K53" s="1557"/>
      <c r="L53" s="1553">
        <v>0</v>
      </c>
      <c r="M53" s="1553"/>
      <c r="N53" s="1553">
        <v>0</v>
      </c>
      <c r="O53" s="1553"/>
      <c r="P53" s="1557">
        <v>0</v>
      </c>
      <c r="Q53" s="1557"/>
      <c r="R53" s="1553">
        <f t="shared" si="3"/>
        <v>0</v>
      </c>
      <c r="S53" s="1553"/>
      <c r="T53" s="1553">
        <v>22130332</v>
      </c>
      <c r="U53" s="1553"/>
      <c r="V53" s="1554">
        <f t="shared" si="2"/>
        <v>-22130332</v>
      </c>
      <c r="W53" s="1555"/>
    </row>
    <row r="54" spans="1:25" ht="15" customHeight="1">
      <c r="A54" s="2896"/>
      <c r="B54" s="1538" t="s">
        <v>481</v>
      </c>
      <c r="C54" s="1538"/>
      <c r="D54" s="1552">
        <v>0</v>
      </c>
      <c r="E54" s="1552"/>
      <c r="F54" s="1553">
        <v>0</v>
      </c>
      <c r="G54" s="1553"/>
      <c r="H54" s="1720">
        <v>0</v>
      </c>
      <c r="I54" s="1720"/>
      <c r="J54" s="1553">
        <v>0</v>
      </c>
      <c r="K54" s="1553"/>
      <c r="L54" s="1553">
        <v>0</v>
      </c>
      <c r="M54" s="1553"/>
      <c r="N54" s="1553">
        <v>0</v>
      </c>
      <c r="O54" s="1553"/>
      <c r="P54" s="1553">
        <v>0</v>
      </c>
      <c r="Q54" s="1553"/>
      <c r="R54" s="1553">
        <f t="shared" si="3"/>
        <v>0</v>
      </c>
      <c r="S54" s="1553"/>
      <c r="T54" s="1553">
        <v>82893116</v>
      </c>
      <c r="U54" s="1553"/>
      <c r="V54" s="1554">
        <f t="shared" si="2"/>
        <v>-82893116</v>
      </c>
      <c r="W54" s="1555"/>
    </row>
    <row r="55" spans="1:25" ht="15" customHeight="1">
      <c r="A55" s="2896"/>
      <c r="B55" s="1538" t="s">
        <v>484</v>
      </c>
      <c r="C55" s="1538"/>
      <c r="D55" s="1552">
        <v>0</v>
      </c>
      <c r="E55" s="1552"/>
      <c r="F55" s="1553">
        <v>0</v>
      </c>
      <c r="G55" s="1553"/>
      <c r="H55" s="1552">
        <v>0</v>
      </c>
      <c r="I55" s="1552"/>
      <c r="J55" s="1553">
        <v>0</v>
      </c>
      <c r="K55" s="1553"/>
      <c r="L55" s="1553">
        <v>0</v>
      </c>
      <c r="M55" s="1553"/>
      <c r="N55" s="1553">
        <v>0</v>
      </c>
      <c r="O55" s="1553"/>
      <c r="P55" s="1553">
        <v>0</v>
      </c>
      <c r="Q55" s="1553"/>
      <c r="R55" s="1553">
        <f t="shared" si="3"/>
        <v>0</v>
      </c>
      <c r="S55" s="1553"/>
      <c r="T55" s="1554">
        <v>38798562</v>
      </c>
      <c r="U55" s="1554"/>
      <c r="V55" s="1554">
        <f t="shared" si="2"/>
        <v>-38798562</v>
      </c>
      <c r="W55" s="1555"/>
    </row>
    <row r="56" spans="1:25" ht="15" customHeight="1">
      <c r="A56" s="2894"/>
      <c r="B56" s="1538" t="s">
        <v>1701</v>
      </c>
      <c r="C56" s="1538"/>
      <c r="D56" s="1725" t="s">
        <v>16</v>
      </c>
      <c r="E56" s="1725"/>
      <c r="F56" s="1553" t="s">
        <v>16</v>
      </c>
      <c r="G56" s="1553"/>
      <c r="H56" s="1719"/>
      <c r="I56" s="1719"/>
      <c r="J56" s="1553"/>
      <c r="K56" s="1553"/>
      <c r="L56" s="1553"/>
      <c r="M56" s="1553"/>
      <c r="N56" s="1553"/>
      <c r="O56" s="1553"/>
      <c r="P56" s="1553"/>
      <c r="Q56" s="1553"/>
      <c r="R56" s="1553"/>
      <c r="S56" s="1553"/>
      <c r="T56" s="1554"/>
      <c r="U56" s="1554"/>
      <c r="V56" s="1553"/>
      <c r="W56" s="1557"/>
    </row>
    <row r="57" spans="1:25" ht="16.5">
      <c r="A57" s="2894"/>
      <c r="B57" s="1538" t="s">
        <v>498</v>
      </c>
      <c r="C57" s="1538"/>
      <c r="D57" s="1726">
        <v>0</v>
      </c>
      <c r="E57" s="1726"/>
      <c r="F57" s="1559">
        <v>0</v>
      </c>
      <c r="G57" s="1560"/>
      <c r="H57" s="1720">
        <v>0</v>
      </c>
      <c r="I57" s="1720"/>
      <c r="J57" s="1553">
        <v>0</v>
      </c>
      <c r="K57" s="1553"/>
      <c r="L57" s="1553">
        <v>0</v>
      </c>
      <c r="M57" s="1553"/>
      <c r="N57" s="1553">
        <v>0</v>
      </c>
      <c r="O57" s="1553"/>
      <c r="P57" s="1553">
        <v>0</v>
      </c>
      <c r="Q57" s="1553"/>
      <c r="R57" s="1553">
        <f>ROUND(SUM(D57:Q57),0)</f>
        <v>0</v>
      </c>
      <c r="S57" s="1553"/>
      <c r="T57" s="1729">
        <v>255338</v>
      </c>
      <c r="U57" s="2897"/>
      <c r="V57" s="1554">
        <f t="shared" si="2"/>
        <v>-255338</v>
      </c>
      <c r="W57" s="1555"/>
      <c r="Y57" s="2898"/>
    </row>
    <row r="58" spans="1:25" ht="16.5">
      <c r="A58" s="2894"/>
      <c r="B58" s="1538" t="s">
        <v>1391</v>
      </c>
      <c r="C58" s="1538"/>
      <c r="D58" s="1726">
        <v>0</v>
      </c>
      <c r="E58" s="1726"/>
      <c r="F58" s="1559">
        <v>0</v>
      </c>
      <c r="G58" s="1560"/>
      <c r="H58" s="1720">
        <v>0</v>
      </c>
      <c r="I58" s="1720"/>
      <c r="J58" s="1553">
        <v>0</v>
      </c>
      <c r="K58" s="1553"/>
      <c r="L58" s="1553">
        <v>0</v>
      </c>
      <c r="M58" s="1553"/>
      <c r="N58" s="1553">
        <v>191836427</v>
      </c>
      <c r="O58" s="1553"/>
      <c r="P58" s="1553">
        <v>0</v>
      </c>
      <c r="Q58" s="1553"/>
      <c r="R58" s="1553">
        <f>ROUND(SUM(D58:Q58),0)</f>
        <v>191836427</v>
      </c>
      <c r="S58" s="1553"/>
      <c r="T58" s="1729">
        <v>0</v>
      </c>
      <c r="U58" s="2897"/>
      <c r="V58" s="1554">
        <f t="shared" si="2"/>
        <v>191836427</v>
      </c>
      <c r="W58" s="1555"/>
      <c r="Y58" s="2898"/>
    </row>
    <row r="59" spans="1:25" ht="16.5">
      <c r="B59" s="1538" t="s">
        <v>499</v>
      </c>
      <c r="C59" s="1538"/>
      <c r="D59" s="1559">
        <v>0</v>
      </c>
      <c r="E59" s="1559"/>
      <c r="F59" s="1559">
        <v>0</v>
      </c>
      <c r="G59" s="1560"/>
      <c r="H59" s="1552">
        <v>0</v>
      </c>
      <c r="I59" s="1552"/>
      <c r="J59" s="1553">
        <v>0</v>
      </c>
      <c r="K59" s="1553"/>
      <c r="L59" s="1553">
        <v>0</v>
      </c>
      <c r="M59" s="1553"/>
      <c r="N59" s="1553">
        <v>0</v>
      </c>
      <c r="O59" s="1553"/>
      <c r="P59" s="1553">
        <v>0</v>
      </c>
      <c r="Q59" s="1553"/>
      <c r="R59" s="1553">
        <f>ROUND(SUM(D59:Q59),0)</f>
        <v>0</v>
      </c>
      <c r="S59" s="1553"/>
      <c r="T59" s="1729">
        <v>286259</v>
      </c>
      <c r="U59" s="2899"/>
      <c r="V59" s="1554">
        <f t="shared" si="2"/>
        <v>-286259</v>
      </c>
      <c r="W59" s="1555"/>
    </row>
    <row r="60" spans="1:25" ht="16.5">
      <c r="A60" s="2900"/>
      <c r="B60" s="1539" t="s">
        <v>500</v>
      </c>
      <c r="C60" s="1539"/>
      <c r="D60" s="1703"/>
      <c r="E60" s="1703"/>
      <c r="F60" s="1703"/>
      <c r="G60" s="1703"/>
      <c r="H60" s="1727"/>
      <c r="I60" s="1727"/>
      <c r="J60" s="1718"/>
      <c r="K60" s="1718"/>
      <c r="L60" s="1718"/>
      <c r="M60" s="1718"/>
      <c r="N60" s="1727"/>
      <c r="O60" s="1727"/>
      <c r="P60" s="1727"/>
      <c r="Q60" s="1727"/>
      <c r="R60" s="1727"/>
      <c r="S60" s="1727"/>
      <c r="T60" s="1727"/>
      <c r="U60" s="2901"/>
      <c r="V60" s="1553"/>
      <c r="W60" s="1557"/>
    </row>
    <row r="61" spans="1:25" s="2893" customFormat="1" ht="17.25" thickBot="1">
      <c r="B61" s="1728" t="s">
        <v>501</v>
      </c>
      <c r="C61" s="1704"/>
      <c r="D61" s="1778">
        <f>ROUND(SUM(D15:D59),0)</f>
        <v>0</v>
      </c>
      <c r="E61" s="1779"/>
      <c r="F61" s="1778">
        <f>ROUND(SUM(F15:F59),0)</f>
        <v>862560144</v>
      </c>
      <c r="G61" s="1779"/>
      <c r="H61" s="1778">
        <f>ROUND(SUM(H15:H59),0)</f>
        <v>14101613</v>
      </c>
      <c r="I61" s="1779"/>
      <c r="J61" s="1778">
        <f>ROUND(SUM(J15:J59),0)</f>
        <v>52379794</v>
      </c>
      <c r="K61" s="1780"/>
      <c r="L61" s="1778">
        <f>ROUND(SUM(L15:L59),0)</f>
        <v>93624429</v>
      </c>
      <c r="M61" s="1780"/>
      <c r="N61" s="1778">
        <f>ROUND(SUM(N15:N59),0)</f>
        <v>802913531</v>
      </c>
      <c r="O61" s="1779"/>
      <c r="P61" s="1778">
        <f>ROUND(SUM(P15:P59),0)</f>
        <v>22740335</v>
      </c>
      <c r="Q61" s="1779"/>
      <c r="R61" s="1778">
        <f>ROUND(SUM(R15:R59),0)</f>
        <v>1848319846</v>
      </c>
      <c r="S61" s="1779"/>
      <c r="T61" s="1778">
        <f>ROUND(SUM(T15:T59),0)</f>
        <v>2063388648</v>
      </c>
      <c r="U61" s="1779"/>
      <c r="V61" s="1778">
        <f>ROUND(SUM(V15:V59),0)</f>
        <v>-215068802</v>
      </c>
      <c r="W61" s="1781"/>
    </row>
    <row r="62" spans="1:25" ht="17.25" thickTop="1">
      <c r="B62" s="1561"/>
      <c r="C62" s="1561"/>
      <c r="D62" s="1538"/>
      <c r="E62" s="1538"/>
      <c r="F62" s="1538"/>
      <c r="G62" s="1538"/>
      <c r="H62" s="1538"/>
      <c r="I62" s="1538"/>
      <c r="J62" s="1538"/>
      <c r="K62" s="1538"/>
      <c r="L62" s="1538"/>
      <c r="M62" s="1538"/>
      <c r="N62" s="1538"/>
      <c r="O62" s="1538"/>
      <c r="P62" s="1538"/>
      <c r="Q62" s="1538"/>
      <c r="R62" s="1538"/>
      <c r="S62" s="1538"/>
      <c r="T62" s="1538"/>
      <c r="U62" s="1538"/>
      <c r="V62" s="1562"/>
      <c r="W62" s="1563"/>
    </row>
    <row r="63" spans="1:25" ht="16.5">
      <c r="B63" s="1538"/>
      <c r="C63" s="1538"/>
      <c r="D63" s="1538"/>
      <c r="E63" s="1538"/>
      <c r="F63" s="1538"/>
      <c r="G63" s="1538"/>
      <c r="H63" s="1538"/>
      <c r="I63" s="1538"/>
      <c r="J63" s="1538"/>
      <c r="K63" s="1538"/>
      <c r="L63" s="1538"/>
      <c r="M63" s="1538"/>
      <c r="N63" s="1538"/>
      <c r="O63" s="1538"/>
      <c r="P63" s="1538"/>
      <c r="Q63" s="1538"/>
      <c r="R63" s="1538"/>
      <c r="S63" s="1538"/>
      <c r="T63" s="1538"/>
      <c r="U63" s="1538"/>
      <c r="V63" s="1538"/>
    </row>
    <row r="64" spans="1:25" ht="15">
      <c r="B64" s="2902"/>
    </row>
    <row r="65" spans="2:2" ht="15">
      <c r="B65" s="2902"/>
    </row>
    <row r="66" spans="2:2" ht="15">
      <c r="B66" s="2902"/>
    </row>
  </sheetData>
  <dataConsolidate/>
  <customSheetViews>
    <customSheetView guid="{BD09DBC2-63A5-4D9C-9B00-4281066E9389}" scale="60" showPageBreaks="1" showGridLines="0" fitToPage="1" printArea="1">
      <selection activeCell="N60" sqref="N60"/>
      <pageMargins left="0.40699999999999997" right="0.25" top="0.61899999999999999" bottom="0.21" header="0.5" footer="0.25"/>
      <pageSetup scale="42" firstPageNumber="45" orientation="landscape" useFirstPageNumber="1" r:id="rId1"/>
      <headerFooter alignWithMargins="0">
        <oddFooter>&amp;C&amp;8&amp;P</oddFooter>
      </headerFooter>
    </customSheetView>
    <customSheetView guid="{C82E0A7D-2B5B-48FC-A705-3168E651E04C}" scale="60" showPageBreaks="1" showGridLines="0" fitToPage="1" printArea="1" topLeftCell="A10">
      <selection activeCell="T35" sqref="T35"/>
      <pageMargins left="0.40699999999999997" right="0.25" top="0.61899999999999999" bottom="0.21" header="0.5" footer="0.25"/>
      <pageSetup scale="42" orientation="landscape" r:id="rId2"/>
      <headerFooter scaleWithDoc="0" alignWithMargins="0">
        <oddFooter>&amp;C&amp;8 45</oddFooter>
      </headerFooter>
    </customSheetView>
    <customSheetView guid="{A8B05C3B-0E7E-44A3-A097-AF4C5C09F04E}" scale="60" showPageBreaks="1" showGridLines="0" fitToPage="1" printArea="1" topLeftCell="A12">
      <selection activeCell="V52" sqref="V52"/>
      <pageMargins left="0.40699999999999997" right="0.25" top="0.61899999999999999" bottom="0.21" header="0.5" footer="0.25"/>
      <pageSetup scale="42" orientation="landscape" r:id="rId3"/>
      <headerFooter scaleWithDoc="0" alignWithMargins="0">
        <oddFooter>&amp;C&amp;8 45</oddFooter>
      </headerFooter>
    </customSheetView>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4"/>
      <headerFooter scaleWithDoc="0" alignWithMargins="0">
        <oddFooter>&amp;C&amp;8 45</oddFooter>
      </headerFooter>
    </customSheetView>
    <customSheetView guid="{4735AAE3-27B4-4549-AAB4-50ACA997F5F5}" scale="60" showPageBreaks="1" showGridLines="0" fitToPage="1" printArea="1">
      <selection activeCell="H43" sqref="H43"/>
      <pageMargins left="0.40699999999999997" right="0.25" top="0.61899999999999999" bottom="0.21" header="0.5" footer="0.25"/>
      <pageSetup scale="42" orientation="landscape" r:id="rId5"/>
      <headerFooter scaleWithDoc="0" alignWithMargins="0">
        <oddFooter>&amp;C&amp;8 45</oddFooter>
      </headerFooter>
    </customSheetView>
    <customSheetView guid="{80622567-647A-4891-B8EE-6B9E2C4DAC44}" scale="60" showPageBreaks="1" showGridLines="0" fitToPage="1" printArea="1" topLeftCell="A22">
      <selection activeCell="T51" sqref="T51"/>
      <pageMargins left="0.40699999999999997" right="0.25" top="0.61899999999999999" bottom="0.21" header="0.5" footer="0.25"/>
      <pageSetup scale="42" orientation="landscape" r:id="rId6"/>
      <headerFooter scaleWithDoc="0" alignWithMargins="0">
        <oddFooter>&amp;C&amp;8 45</oddFooter>
      </headerFooter>
    </customSheetView>
    <customSheetView guid="{A97EE6C3-4DA8-41BD-BE43-F596EFCB43CA}" scale="60" showPageBreaks="1" showGridLines="0" fitToPage="1" printArea="1" topLeftCell="A7">
      <selection activeCell="V3" sqref="V3"/>
      <pageMargins left="0.40699999999999997" right="0.25" top="0.61899999999999999" bottom="0.21" header="0.5" footer="0.25"/>
      <pageSetup scale="42" orientation="landscape" r:id="rId7"/>
      <headerFooter scaleWithDoc="0" alignWithMargins="0">
        <oddFooter>&amp;C&amp;8 45</oddFooter>
      </headerFooter>
    </customSheetView>
    <customSheetView guid="{90B76C5A-2FC4-40F0-8436-3E4F075A4887}" scale="70" showPageBreaks="1" showGridLines="0" fitToPage="1" printArea="1">
      <selection activeCell="V3" sqref="V3"/>
      <pageMargins left="0.40699999999999997" right="0.25" top="0.61899999999999999" bottom="0.21" header="0.5" footer="0.25"/>
      <pageSetup scale="44" orientation="landscape" r:id="rId8"/>
      <headerFooter scaleWithDoc="0" alignWithMargins="0">
        <oddFooter>&amp;C&amp;8 45</oddFooter>
      </headerFooter>
    </customSheetView>
  </customSheetViews>
  <pageMargins left="0.40699999999999997" right="0.25" top="0.61899999999999999" bottom="0.21" header="0.5" footer="0.25"/>
  <pageSetup scale="42" firstPageNumber="45" orientation="landscape" useFirstPageNumber="1" r:id="rId9"/>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Normal="70" workbookViewId="0"/>
  </sheetViews>
  <sheetFormatPr defaultColWidth="8.88671875" defaultRowHeight="15"/>
  <cols>
    <col min="1" max="3" width="9.6640625" style="2875" customWidth="1"/>
    <col min="4" max="4" width="10.44140625" style="2875" customWidth="1"/>
    <col min="5" max="5" width="14.77734375" style="2875" customWidth="1"/>
    <col min="6" max="6" width="1.33203125" style="2875" customWidth="1"/>
    <col min="7" max="7" width="16.6640625" style="2875" customWidth="1"/>
    <col min="8" max="8" width="1.33203125" style="2875" customWidth="1"/>
    <col min="9" max="9" width="16.6640625" style="2875" bestFit="1" customWidth="1"/>
    <col min="10" max="10" width="9.6640625" style="2875" customWidth="1"/>
    <col min="11" max="11" width="15.6640625" style="2875" customWidth="1"/>
    <col min="12" max="16384" width="8.88671875" style="2875"/>
  </cols>
  <sheetData>
    <row r="1" spans="1:11">
      <c r="A1" s="1227" t="s">
        <v>1322</v>
      </c>
    </row>
    <row r="2" spans="1:11">
      <c r="A2" s="1880"/>
    </row>
    <row r="3" spans="1:11" ht="15.75">
      <c r="A3" s="1455" t="s">
        <v>0</v>
      </c>
      <c r="I3" s="2665" t="s">
        <v>1578</v>
      </c>
    </row>
    <row r="4" spans="1:11" ht="15.75">
      <c r="A4" s="1882" t="s">
        <v>1577</v>
      </c>
    </row>
    <row r="5" spans="1:11" ht="15.75">
      <c r="A5" s="3384" t="s">
        <v>1639</v>
      </c>
      <c r="B5" s="3385"/>
      <c r="C5" s="3385"/>
      <c r="D5" s="3385"/>
      <c r="E5" s="3385"/>
      <c r="F5" s="3385"/>
      <c r="G5" s="3385"/>
      <c r="H5" s="3385"/>
      <c r="I5" s="3385"/>
      <c r="J5" s="3385"/>
      <c r="K5" s="3385"/>
    </row>
    <row r="6" spans="1:11" ht="15.75">
      <c r="A6" s="3384" t="s">
        <v>1201</v>
      </c>
      <c r="B6" s="3385"/>
      <c r="C6" s="3385"/>
      <c r="D6" s="3385"/>
      <c r="E6" s="3385"/>
      <c r="F6" s="3385"/>
      <c r="G6" s="3385"/>
      <c r="H6" s="3385"/>
      <c r="I6" s="3385"/>
      <c r="J6" s="3385"/>
      <c r="K6" s="3385"/>
    </row>
    <row r="7" spans="1:11" ht="15.75">
      <c r="A7" s="3384" t="s">
        <v>1198</v>
      </c>
      <c r="B7" s="3386"/>
      <c r="C7" s="3386"/>
      <c r="D7" s="3386"/>
      <c r="E7" s="3386"/>
      <c r="F7" s="3386"/>
      <c r="G7" s="3386"/>
      <c r="H7" s="3386"/>
      <c r="I7" s="3386"/>
      <c r="J7" s="3386"/>
      <c r="K7" s="3386"/>
    </row>
    <row r="8" spans="1:11" ht="15.75">
      <c r="A8" s="768"/>
      <c r="F8" s="768"/>
      <c r="H8" s="768"/>
      <c r="I8" s="769" t="s">
        <v>502</v>
      </c>
    </row>
    <row r="9" spans="1:11" ht="15.75">
      <c r="A9" s="768"/>
      <c r="F9" s="768"/>
      <c r="G9" s="770" t="s">
        <v>503</v>
      </c>
      <c r="H9" s="768"/>
      <c r="I9" s="770" t="s">
        <v>504</v>
      </c>
    </row>
    <row r="10" spans="1:11" ht="15.75">
      <c r="A10" s="768"/>
      <c r="E10" s="771" t="s">
        <v>1648</v>
      </c>
      <c r="F10" s="768"/>
      <c r="G10" s="770" t="s">
        <v>505</v>
      </c>
      <c r="H10" s="768"/>
      <c r="I10" s="771" t="s">
        <v>1649</v>
      </c>
    </row>
    <row r="11" spans="1:11" ht="15.75">
      <c r="A11" s="768"/>
      <c r="E11" s="772"/>
      <c r="F11" s="768"/>
      <c r="G11" s="772"/>
      <c r="H11" s="768"/>
      <c r="I11" s="772"/>
    </row>
    <row r="12" spans="1:11" ht="15.75">
      <c r="A12" s="773" t="s">
        <v>1311</v>
      </c>
      <c r="F12" s="768"/>
      <c r="H12" s="768"/>
    </row>
    <row r="13" spans="1:11">
      <c r="A13" s="768"/>
      <c r="F13" s="768"/>
      <c r="H13" s="768"/>
    </row>
    <row r="14" spans="1:11">
      <c r="A14" s="1306" t="s">
        <v>1310</v>
      </c>
      <c r="E14" s="2876">
        <v>9547.6</v>
      </c>
      <c r="F14" s="2876"/>
      <c r="G14" s="2877">
        <v>8214.2999999999993</v>
      </c>
      <c r="H14" s="2876"/>
      <c r="I14" s="2878">
        <v>6219.7</v>
      </c>
    </row>
    <row r="15" spans="1:11">
      <c r="A15" s="1306" t="s">
        <v>1309</v>
      </c>
      <c r="E15" s="774">
        <v>1.1800000000000001E-3</v>
      </c>
      <c r="F15" s="1787"/>
      <c r="G15" s="775">
        <v>1.2099999999999999E-3</v>
      </c>
      <c r="H15" s="1787"/>
      <c r="I15" s="776">
        <v>1.5E-3</v>
      </c>
    </row>
    <row r="16" spans="1:11">
      <c r="A16" s="1787" t="s">
        <v>506</v>
      </c>
      <c r="E16" s="2879">
        <v>0.39500000000000002</v>
      </c>
      <c r="F16" s="777"/>
      <c r="G16" s="2880">
        <v>4.6429999999999998</v>
      </c>
      <c r="H16" s="2002"/>
      <c r="I16" s="2881">
        <v>5.476</v>
      </c>
    </row>
    <row r="17" spans="1:10">
      <c r="A17" s="768"/>
      <c r="J17" s="768"/>
    </row>
    <row r="18" spans="1:10">
      <c r="A18" s="1959"/>
      <c r="B18" s="2882"/>
      <c r="C18" s="2882"/>
      <c r="D18" s="2882"/>
      <c r="E18" s="2882"/>
      <c r="F18" s="2882"/>
      <c r="G18" s="2882"/>
      <c r="H18" s="2882"/>
      <c r="I18" s="2882"/>
      <c r="J18" s="1959"/>
    </row>
    <row r="19" spans="1:10">
      <c r="A19" s="1959"/>
      <c r="B19" s="2882"/>
      <c r="C19" s="2882"/>
      <c r="D19" s="2882"/>
      <c r="E19" s="2882"/>
      <c r="F19" s="2882"/>
      <c r="G19" s="2882"/>
      <c r="H19" s="2882"/>
      <c r="I19" s="2882"/>
      <c r="J19" s="1959"/>
    </row>
    <row r="20" spans="1:10" ht="18">
      <c r="A20" s="1960" t="s">
        <v>507</v>
      </c>
      <c r="B20" s="1961"/>
      <c r="C20" s="1961"/>
      <c r="D20" s="2882"/>
      <c r="E20" s="2882"/>
      <c r="F20" s="2882"/>
      <c r="G20" s="2882"/>
      <c r="H20" s="2882"/>
      <c r="I20" s="2882"/>
      <c r="J20" s="1959"/>
    </row>
    <row r="21" spans="1:10">
      <c r="A21" s="1959"/>
      <c r="B21" s="2882"/>
      <c r="C21" s="2882"/>
      <c r="D21" s="2882"/>
      <c r="E21" s="2882"/>
      <c r="F21" s="1174"/>
      <c r="G21" s="1174" t="s">
        <v>1633</v>
      </c>
      <c r="H21" s="1174"/>
      <c r="I21" s="1174" t="s">
        <v>1635</v>
      </c>
      <c r="J21" s="1959"/>
    </row>
    <row r="22" spans="1:10">
      <c r="A22" s="1959"/>
      <c r="B22" s="1962" t="s">
        <v>508</v>
      </c>
      <c r="C22" s="2882"/>
      <c r="D22" s="2883" t="s">
        <v>16</v>
      </c>
      <c r="E22" s="2882"/>
      <c r="F22" s="1963"/>
      <c r="G22" s="2884" t="s">
        <v>509</v>
      </c>
      <c r="H22" s="1963"/>
      <c r="I22" s="2884" t="s">
        <v>509</v>
      </c>
      <c r="J22" s="1959"/>
    </row>
    <row r="23" spans="1:10">
      <c r="A23" s="1959"/>
      <c r="B23" s="2883" t="s">
        <v>510</v>
      </c>
      <c r="C23" s="2882"/>
      <c r="D23" s="2882"/>
      <c r="E23" s="2882"/>
      <c r="F23" s="2885"/>
      <c r="G23" s="2886">
        <v>250</v>
      </c>
      <c r="H23" s="2885"/>
      <c r="I23" s="2886">
        <v>0</v>
      </c>
      <c r="J23" s="1959"/>
    </row>
    <row r="24" spans="1:10">
      <c r="A24" s="1959"/>
      <c r="B24" s="2883" t="s">
        <v>511</v>
      </c>
      <c r="C24" s="2882"/>
      <c r="D24" s="2882"/>
      <c r="E24" s="2882"/>
      <c r="F24" s="2885"/>
      <c r="G24" s="2887">
        <v>25.7</v>
      </c>
      <c r="H24" s="2885"/>
      <c r="I24" s="2887">
        <v>1221.8</v>
      </c>
      <c r="J24" s="1959"/>
    </row>
    <row r="25" spans="1:10">
      <c r="A25" s="1959"/>
      <c r="B25" s="2883" t="s">
        <v>512</v>
      </c>
      <c r="C25" s="2882"/>
      <c r="D25" s="2882"/>
      <c r="E25" s="2882"/>
      <c r="F25" s="2888"/>
      <c r="G25" s="2887">
        <v>5179</v>
      </c>
      <c r="H25" s="2888"/>
      <c r="I25" s="2889">
        <v>2067.4</v>
      </c>
      <c r="J25" s="1959"/>
    </row>
    <row r="26" spans="1:10">
      <c r="A26" s="1959"/>
      <c r="B26" s="2883" t="s">
        <v>513</v>
      </c>
      <c r="C26" s="2882"/>
      <c r="D26" s="2882"/>
      <c r="E26" s="2882"/>
      <c r="F26" s="2888"/>
      <c r="G26" s="2887">
        <v>3449.6</v>
      </c>
      <c r="H26" s="2888"/>
      <c r="I26" s="2889">
        <v>4245.8</v>
      </c>
      <c r="J26" s="1959"/>
    </row>
    <row r="27" spans="1:10">
      <c r="A27" s="1959"/>
      <c r="B27" s="1964" t="s">
        <v>1147</v>
      </c>
      <c r="C27" s="2882"/>
      <c r="D27" s="2882"/>
      <c r="E27" s="2882"/>
      <c r="F27" s="2890"/>
      <c r="G27" s="2887">
        <v>4553</v>
      </c>
      <c r="H27" s="2890"/>
      <c r="I27" s="2889">
        <v>4425</v>
      </c>
      <c r="J27" s="1959"/>
    </row>
    <row r="28" spans="1:10" ht="16.5" thickBot="1">
      <c r="A28" s="1959"/>
      <c r="B28" s="2882"/>
      <c r="C28" s="2882"/>
      <c r="D28" s="2882"/>
      <c r="E28" s="2882"/>
      <c r="F28" s="778"/>
      <c r="G28" s="779">
        <f>ROUND(SUM(G23:G27),1)</f>
        <v>13457.3</v>
      </c>
      <c r="H28" s="778"/>
      <c r="I28" s="779">
        <f>ROUND(SUM(I23:I27),1)</f>
        <v>11960</v>
      </c>
      <c r="J28" s="1959"/>
    </row>
    <row r="29" spans="1:10" ht="15.75" thickTop="1">
      <c r="A29" s="768"/>
      <c r="F29" s="2891"/>
      <c r="G29" s="2891"/>
      <c r="H29" s="2891"/>
      <c r="J29" s="768"/>
    </row>
    <row r="30" spans="1:10">
      <c r="A30" s="768"/>
      <c r="J30" s="768"/>
    </row>
    <row r="31" spans="1:10" ht="15.75">
      <c r="A31" s="773"/>
      <c r="J31" s="768"/>
    </row>
    <row r="32" spans="1:10" ht="192.75" customHeight="1">
      <c r="A32" s="3387" t="s">
        <v>1329</v>
      </c>
      <c r="B32" s="3388"/>
      <c r="C32" s="3388"/>
      <c r="D32" s="3388"/>
      <c r="E32" s="3388"/>
      <c r="F32" s="3388"/>
      <c r="G32" s="3388"/>
      <c r="H32" s="3388"/>
      <c r="I32" s="3388"/>
      <c r="J32" s="768"/>
    </row>
    <row r="34" spans="1:11" ht="15" customHeight="1">
      <c r="A34" s="1243" t="s">
        <v>1313</v>
      </c>
      <c r="B34" s="1453"/>
      <c r="C34" s="1453"/>
      <c r="D34" s="1453"/>
      <c r="E34" s="1453"/>
      <c r="F34" s="1453"/>
      <c r="G34" s="1453"/>
      <c r="H34" s="1453"/>
      <c r="I34" s="1453"/>
      <c r="J34" s="1453"/>
      <c r="K34" s="1453"/>
    </row>
    <row r="35" spans="1:11" ht="17.25" customHeight="1">
      <c r="A35" s="1451"/>
      <c r="B35" s="1454"/>
      <c r="C35" s="1454"/>
      <c r="D35" s="1454"/>
      <c r="E35" s="1454"/>
      <c r="F35" s="1454"/>
      <c r="G35" s="1454"/>
      <c r="H35" s="1454"/>
      <c r="I35" s="1454"/>
      <c r="J35" s="1454"/>
      <c r="K35" s="780"/>
    </row>
    <row r="36" spans="1:11">
      <c r="A36" s="1787" t="s">
        <v>1285</v>
      </c>
      <c r="B36" s="1787" t="s">
        <v>514</v>
      </c>
      <c r="C36" s="1454"/>
      <c r="D36" s="1454"/>
      <c r="E36" s="1454"/>
      <c r="F36" s="1454"/>
      <c r="G36" s="1454"/>
      <c r="H36" s="1454"/>
      <c r="I36" s="1454"/>
      <c r="J36" s="1454"/>
      <c r="K36" s="780"/>
    </row>
    <row r="37" spans="1:11">
      <c r="A37" s="1451"/>
      <c r="B37" s="1452"/>
      <c r="C37" s="1454"/>
      <c r="D37" s="1454"/>
      <c r="E37" s="1454"/>
      <c r="F37" s="1454"/>
      <c r="G37" s="1454"/>
      <c r="H37" s="1454"/>
      <c r="I37" s="1454"/>
      <c r="J37" s="1454"/>
      <c r="K37" s="780"/>
    </row>
    <row r="38" spans="1:11">
      <c r="A38" s="768"/>
      <c r="B38" s="1787" t="s">
        <v>16</v>
      </c>
      <c r="C38" s="768"/>
      <c r="D38" s="768"/>
      <c r="E38" s="768"/>
      <c r="F38" s="768"/>
      <c r="G38" s="768"/>
      <c r="H38" s="768"/>
      <c r="I38" s="768"/>
    </row>
    <row r="39" spans="1:11">
      <c r="B39" s="1787" t="s">
        <v>16</v>
      </c>
    </row>
  </sheetData>
  <customSheetViews>
    <customSheetView guid="{BD09DBC2-63A5-4D9C-9B00-4281066E9389}" showGridLines="0" outlineSymbols="0" fitToPage="1" printArea="1">
      <selection activeCell="K8" sqref="K8"/>
      <pageMargins left="0.5" right="0.5" top="1" bottom="0.5" header="0.5" footer="0.25"/>
      <printOptions horizontalCentered="1" verticalCentered="1"/>
      <pageSetup scale="71" firstPageNumber="46" orientation="landscape" useFirstPageNumber="1" r:id="rId1"/>
      <headerFooter alignWithMargins="0">
        <oddFooter>&amp;C&amp;P</oddFooter>
      </headerFooter>
    </customSheetView>
    <customSheetView guid="{C82E0A7D-2B5B-48FC-A705-3168E651E04C}" showGridLines="0" outlineSymbols="0" fitToPage="1" printArea="1">
      <selection activeCell="I3" sqref="I3"/>
      <pageMargins left="0.5" right="0.5" top="1" bottom="0.5" header="0.5" footer="0.25"/>
      <printOptions horizontalCentered="1" verticalCentered="1"/>
      <pageSetup scale="71" orientation="landscape" r:id="rId2"/>
      <headerFooter scaleWithDoc="0" alignWithMargins="0">
        <oddFooter>&amp;C&amp;8 46</oddFooter>
      </headerFooter>
    </customSheetView>
    <customSheetView guid="{A8B05C3B-0E7E-44A3-A097-AF4C5C09F04E}" showGridLines="0" outlineSymbols="0" fitToPage="1" printArea="1">
      <selection activeCell="I3" sqref="I3"/>
      <pageMargins left="0.5" right="0.5" top="1" bottom="0.5" header="0.5" footer="0.25"/>
      <printOptions horizontalCentered="1" verticalCentered="1"/>
      <pageSetup scale="71" orientation="landscape" r:id="rId3"/>
      <headerFooter scaleWithDoc="0" alignWithMargins="0">
        <oddFooter>&amp;C&amp;8 46</oddFooter>
      </headerFooter>
    </customSheetView>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4"/>
      <headerFooter scaleWithDoc="0" alignWithMargins="0">
        <oddFooter>&amp;C&amp;8 46</oddFooter>
      </headerFooter>
    </customSheetView>
    <customSheetView guid="{4735AAE3-27B4-4549-AAB4-50ACA997F5F5}" showGridLines="0" outlineSymbols="0" fitToPage="1" printArea="1">
      <selection activeCell="I28" sqref="I28"/>
      <pageMargins left="0.5" right="0.5" top="1" bottom="0.5" header="0.5" footer="0.25"/>
      <printOptions horizontalCentered="1" verticalCentered="1"/>
      <pageSetup scale="71" orientation="landscape" r:id="rId5"/>
      <headerFooter scaleWithDoc="0" alignWithMargins="0">
        <oddFooter>&amp;C&amp;8 46</oddFooter>
      </headerFooter>
    </customSheetView>
    <customSheetView guid="{80622567-647A-4891-B8EE-6B9E2C4DAC44}" showGridLines="0" outlineSymbols="0" fitToPage="1" printArea="1">
      <selection activeCell="I27" sqref="I27"/>
      <pageMargins left="0.5" right="0.5" top="1" bottom="0.5" header="0.5" footer="0.25"/>
      <printOptions horizontalCentered="1" verticalCentered="1"/>
      <pageSetup scale="71" orientation="landscape" r:id="rId6"/>
      <headerFooter scaleWithDoc="0" alignWithMargins="0">
        <oddFooter>&amp;C&amp;8 46</oddFooter>
      </headerFooter>
    </customSheetView>
    <customSheetView guid="{A97EE6C3-4DA8-41BD-BE43-F596EFCB43CA}" showGridLines="0" outlineSymbols="0" fitToPage="1" printArea="1" topLeftCell="A28">
      <selection activeCell="I3" sqref="I3"/>
      <pageMargins left="0.5" right="0.5" top="1" bottom="0.5" header="0.5" footer="0.25"/>
      <printOptions horizontalCentered="1" verticalCentered="1"/>
      <pageSetup scale="71" orientation="landscape" r:id="rId7"/>
      <headerFooter scaleWithDoc="0" alignWithMargins="0">
        <oddFooter>&amp;C&amp;8 46</oddFooter>
      </headerFooter>
    </customSheetView>
    <customSheetView guid="{90B76C5A-2FC4-40F0-8436-3E4F075A4887}" scale="70" showGridLines="0" outlineSymbols="0" fitToPage="1" printArea="1">
      <selection activeCell="I27" sqref="I27"/>
      <pageMargins left="0.5" right="0.5" top="1" bottom="0.5" header="0.5" footer="0.25"/>
      <printOptions horizontalCentered="1" verticalCentered="1"/>
      <pageSetup scale="67" orientation="landscape" r:id="rId8"/>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9"/>
  <headerFooter scaleWithDoc="0" alignWithMargins="0">
    <oddFooter>&amp;C&amp;8&amp;P</oddFooter>
  </headerFooter>
  <drawing r:id="rId10"/>
</worksheet>
</file>

<file path=xl/worksheets/sheet37.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60" zoomScaleNormal="70" workbookViewId="0"/>
  </sheetViews>
  <sheetFormatPr defaultColWidth="8.88671875" defaultRowHeight="12.75" outlineLevelCol="1"/>
  <cols>
    <col min="1" max="1" width="45.44140625" style="962" customWidth="1"/>
    <col min="2" max="2" width="17" style="781" bestFit="1" customWidth="1"/>
    <col min="3" max="3" width="1.77734375" style="781" customWidth="1"/>
    <col min="4" max="4" width="17" style="781" bestFit="1" customWidth="1"/>
    <col min="5" max="5" width="1.6640625" style="787" customWidth="1" outlineLevel="1"/>
    <col min="6" max="6" width="17.21875" style="781" customWidth="1"/>
    <col min="7" max="7" width="1.6640625" style="787" customWidth="1" outlineLevel="1"/>
    <col min="8" max="8" width="17.5546875" style="781" customWidth="1"/>
    <col min="9" max="9" width="1.6640625" style="787" customWidth="1" outlineLevel="1"/>
    <col min="10" max="10" width="16.44140625" style="781" customWidth="1"/>
    <col min="11" max="11" width="1.6640625" style="781" customWidth="1"/>
    <col min="12" max="12" width="16.5546875" style="781" bestFit="1" customWidth="1"/>
    <col min="13" max="13" width="1.6640625" style="787" customWidth="1" outlineLevel="1"/>
    <col min="14" max="14" width="16.109375" style="781" customWidth="1"/>
    <col min="15" max="15" width="1.6640625" style="787" customWidth="1" outlineLevel="1"/>
    <col min="16" max="16" width="13.6640625" style="781" customWidth="1"/>
    <col min="17" max="17" width="1.6640625" style="787" customWidth="1" outlineLevel="1"/>
    <col min="18" max="18" width="13.6640625" style="781" customWidth="1"/>
    <col min="19" max="19" width="1.6640625" style="787" customWidth="1" outlineLevel="1"/>
    <col min="20" max="20" width="13.6640625" style="781" customWidth="1"/>
    <col min="21" max="21" width="1.6640625" style="787" customWidth="1"/>
    <col min="22" max="22" width="13.6640625" style="781" customWidth="1"/>
    <col min="23" max="23" width="1.6640625" style="787" customWidth="1"/>
    <col min="24" max="24" width="13.6640625" style="781" customWidth="1"/>
    <col min="25" max="25" width="1.6640625" style="787" customWidth="1"/>
    <col min="26" max="26" width="22.33203125" style="783" bestFit="1" customWidth="1"/>
    <col min="27" max="27" width="1.5546875" style="962" customWidth="1"/>
    <col min="28" max="28" width="18.77734375" style="962" bestFit="1" customWidth="1"/>
    <col min="29" max="29" width="12.6640625" style="962" bestFit="1" customWidth="1"/>
    <col min="30" max="16384" width="8.88671875" style="962"/>
  </cols>
  <sheetData>
    <row r="1" spans="1:40" ht="15">
      <c r="A1" s="1227" t="s">
        <v>1322</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row>
    <row r="2" spans="1:40" ht="15">
      <c r="A2" s="1227"/>
      <c r="B2" s="2831"/>
      <c r="C2" s="2831"/>
      <c r="D2" s="2831"/>
      <c r="E2" s="2831"/>
      <c r="F2" s="2831"/>
      <c r="G2" s="2831"/>
      <c r="H2" s="2831"/>
      <c r="I2" s="2831"/>
      <c r="J2" s="2831"/>
      <c r="K2" s="2831"/>
      <c r="L2" s="2831"/>
      <c r="M2" s="2831"/>
      <c r="N2" s="2831"/>
      <c r="O2" s="2831"/>
      <c r="P2" s="2831"/>
      <c r="Q2" s="2831"/>
      <c r="R2" s="2831"/>
      <c r="S2" s="2831"/>
      <c r="T2" s="2831"/>
      <c r="U2" s="2831"/>
      <c r="V2" s="2831"/>
      <c r="W2" s="2831"/>
      <c r="X2" s="2831"/>
      <c r="Y2" s="2831"/>
      <c r="Z2" s="2831"/>
      <c r="AA2" s="2831"/>
      <c r="AB2" s="2831"/>
      <c r="AC2" s="2831"/>
      <c r="AD2" s="2831"/>
      <c r="AE2" s="2831"/>
      <c r="AF2" s="2831"/>
      <c r="AG2" s="2831"/>
    </row>
    <row r="3" spans="1:40" ht="24" customHeight="1">
      <c r="A3" s="1858" t="s">
        <v>0</v>
      </c>
      <c r="B3" s="959"/>
      <c r="C3" s="959"/>
      <c r="D3" s="960"/>
      <c r="E3" s="961"/>
      <c r="F3" s="960"/>
      <c r="G3" s="961"/>
      <c r="H3" s="960"/>
      <c r="I3" s="961"/>
      <c r="K3" s="959"/>
      <c r="L3" s="782"/>
      <c r="M3" s="959"/>
      <c r="N3" s="960"/>
      <c r="O3" s="961"/>
      <c r="P3" s="960"/>
      <c r="Q3" s="961"/>
      <c r="R3" s="960"/>
      <c r="S3" s="961"/>
      <c r="T3" s="960"/>
      <c r="U3" s="961"/>
      <c r="V3" s="960"/>
      <c r="W3" s="961"/>
      <c r="X3" s="960"/>
      <c r="Y3" s="961"/>
      <c r="Z3" s="1777" t="s">
        <v>515</v>
      </c>
      <c r="AA3" s="959"/>
      <c r="AC3" s="959"/>
      <c r="AE3" s="959"/>
    </row>
    <row r="4" spans="1:40" ht="16.5">
      <c r="A4" s="1858" t="s">
        <v>516</v>
      </c>
      <c r="B4" s="2832"/>
      <c r="C4" s="2832"/>
      <c r="D4" s="963"/>
      <c r="E4" s="961"/>
      <c r="F4" s="2832"/>
      <c r="G4" s="961"/>
      <c r="H4" s="2832"/>
      <c r="I4" s="961"/>
      <c r="J4" s="2832"/>
      <c r="K4" s="2832"/>
      <c r="L4" s="2832"/>
      <c r="M4" s="964"/>
      <c r="N4" s="2832"/>
      <c r="O4" s="961"/>
      <c r="P4" s="2832"/>
      <c r="Q4" s="961"/>
      <c r="R4" s="2832"/>
      <c r="S4" s="961"/>
      <c r="T4" s="2832"/>
      <c r="U4" s="961"/>
      <c r="V4" s="2832"/>
      <c r="W4" s="961"/>
      <c r="X4" s="2832"/>
      <c r="Y4" s="961"/>
      <c r="Z4" s="2833"/>
      <c r="AA4" s="965"/>
      <c r="AC4" s="959"/>
    </row>
    <row r="5" spans="1:40" ht="16.5">
      <c r="A5" s="1859" t="s">
        <v>1626</v>
      </c>
      <c r="B5" s="2832"/>
      <c r="C5" s="2832"/>
      <c r="D5" s="2832"/>
      <c r="E5" s="961"/>
      <c r="F5" s="2832"/>
      <c r="G5" s="961"/>
      <c r="H5" s="2832"/>
      <c r="I5" s="961"/>
      <c r="J5" s="2832"/>
      <c r="K5" s="2832"/>
      <c r="L5" s="2832"/>
      <c r="M5" s="964"/>
      <c r="N5" s="2832"/>
      <c r="O5" s="961"/>
      <c r="P5" s="2832"/>
      <c r="Q5" s="961"/>
      <c r="R5" s="2832"/>
      <c r="S5" s="961"/>
      <c r="T5" s="2832"/>
      <c r="U5" s="961"/>
      <c r="V5" s="2832"/>
      <c r="W5" s="961"/>
      <c r="X5" s="2832"/>
      <c r="Y5" s="961"/>
      <c r="Z5" s="2833"/>
    </row>
    <row r="6" spans="1:40" ht="18" customHeight="1">
      <c r="A6" s="966" t="s">
        <v>1175</v>
      </c>
      <c r="B6" s="2832"/>
      <c r="C6" s="2832"/>
      <c r="D6" s="968"/>
      <c r="E6" s="961"/>
      <c r="F6" s="2832"/>
      <c r="G6" s="961"/>
      <c r="H6" s="2832"/>
      <c r="I6" s="961"/>
      <c r="J6" s="2832"/>
      <c r="K6" s="2832"/>
      <c r="L6" s="2832"/>
      <c r="M6" s="964"/>
      <c r="N6" s="2832"/>
      <c r="O6" s="961"/>
      <c r="P6" s="2832"/>
      <c r="Q6" s="961"/>
      <c r="R6" s="2832"/>
      <c r="S6" s="961"/>
      <c r="T6" s="2832"/>
      <c r="U6" s="961"/>
      <c r="V6" s="2832"/>
      <c r="W6" s="961"/>
      <c r="X6" s="2832"/>
      <c r="Y6" s="961"/>
      <c r="Z6" s="2833"/>
    </row>
    <row r="7" spans="1:40" ht="15" customHeight="1">
      <c r="A7" s="967"/>
      <c r="B7" s="2832"/>
      <c r="C7" s="2832"/>
      <c r="D7" s="2832"/>
      <c r="E7" s="961"/>
      <c r="F7" s="2832"/>
      <c r="G7" s="961"/>
      <c r="H7" s="2832"/>
      <c r="I7" s="961"/>
      <c r="J7" s="2832"/>
      <c r="K7" s="2832"/>
      <c r="L7" s="2832"/>
      <c r="M7" s="964"/>
      <c r="N7" s="2832"/>
      <c r="O7" s="961"/>
      <c r="P7" s="2832"/>
      <c r="Q7" s="961"/>
      <c r="R7" s="2834"/>
      <c r="S7" s="961"/>
      <c r="T7" s="2834"/>
      <c r="U7" s="961"/>
      <c r="V7" s="2834"/>
      <c r="W7" s="961"/>
      <c r="X7" s="2834"/>
      <c r="Y7" s="961"/>
      <c r="Z7" s="2833"/>
    </row>
    <row r="8" spans="1:40" ht="15.75">
      <c r="A8" s="958"/>
      <c r="B8" s="2832"/>
      <c r="C8" s="2832"/>
      <c r="D8" s="2832"/>
      <c r="E8" s="961"/>
      <c r="F8" s="2832"/>
      <c r="G8" s="961"/>
      <c r="H8" s="2832"/>
      <c r="I8" s="961"/>
      <c r="J8" s="2832"/>
      <c r="K8" s="2832"/>
      <c r="L8" s="2832"/>
      <c r="M8" s="961"/>
      <c r="N8" s="2832"/>
      <c r="O8" s="961"/>
      <c r="P8" s="2832"/>
      <c r="Q8" s="961"/>
      <c r="R8" s="2832"/>
      <c r="S8" s="961"/>
      <c r="T8" s="2832"/>
      <c r="U8" s="961"/>
      <c r="V8" s="2832"/>
      <c r="W8" s="961"/>
      <c r="X8" s="2832"/>
      <c r="Y8" s="961"/>
      <c r="Z8" s="969"/>
      <c r="AA8" s="970"/>
    </row>
    <row r="9" spans="1:40" ht="15" customHeight="1">
      <c r="A9" s="2835"/>
      <c r="B9" s="971" t="s">
        <v>130</v>
      </c>
      <c r="C9" s="971"/>
      <c r="D9" s="971"/>
      <c r="E9" s="964"/>
      <c r="F9" s="971"/>
      <c r="G9" s="964"/>
      <c r="H9" s="971"/>
      <c r="I9" s="964"/>
      <c r="J9" s="971"/>
      <c r="K9" s="971"/>
      <c r="L9" s="972"/>
      <c r="M9" s="964"/>
      <c r="N9" s="972"/>
      <c r="O9" s="964"/>
      <c r="P9" s="972"/>
      <c r="Q9" s="964"/>
      <c r="R9" s="972"/>
      <c r="S9" s="964"/>
      <c r="T9" s="2036">
        <v>2015</v>
      </c>
      <c r="U9" s="964"/>
      <c r="V9" s="972"/>
      <c r="W9" s="964"/>
      <c r="X9" s="972"/>
      <c r="Y9" s="964"/>
      <c r="Z9" s="973" t="s">
        <v>1667</v>
      </c>
      <c r="AA9" s="973"/>
    </row>
    <row r="10" spans="1:40" ht="15" customHeight="1">
      <c r="A10" s="2835"/>
      <c r="B10" s="974" t="s">
        <v>131</v>
      </c>
      <c r="C10" s="975"/>
      <c r="D10" s="972" t="s">
        <v>132</v>
      </c>
      <c r="E10" s="964"/>
      <c r="F10" s="972" t="s">
        <v>133</v>
      </c>
      <c r="G10" s="964"/>
      <c r="H10" s="972" t="s">
        <v>134</v>
      </c>
      <c r="I10" s="964"/>
      <c r="J10" s="972" t="s">
        <v>135</v>
      </c>
      <c r="K10" s="976"/>
      <c r="L10" s="972" t="s">
        <v>136</v>
      </c>
      <c r="M10" s="964"/>
      <c r="N10" s="972" t="s">
        <v>137</v>
      </c>
      <c r="O10" s="964"/>
      <c r="P10" s="972" t="s">
        <v>138</v>
      </c>
      <c r="Q10" s="964"/>
      <c r="R10" s="972" t="s">
        <v>139</v>
      </c>
      <c r="S10" s="964"/>
      <c r="T10" s="972" t="s">
        <v>156</v>
      </c>
      <c r="U10" s="964"/>
      <c r="V10" s="972" t="s">
        <v>141</v>
      </c>
      <c r="W10" s="964"/>
      <c r="X10" s="972" t="s">
        <v>142</v>
      </c>
      <c r="Y10" s="964"/>
      <c r="Z10" s="977">
        <v>41943</v>
      </c>
      <c r="AA10" s="977"/>
    </row>
    <row r="11" spans="1:40" ht="15" customHeight="1">
      <c r="A11" s="2835"/>
      <c r="B11" s="2836" t="s">
        <v>16</v>
      </c>
      <c r="C11" s="2837"/>
      <c r="D11" s="2836" t="s">
        <v>16</v>
      </c>
      <c r="E11" s="2838"/>
      <c r="F11" s="2836" t="s">
        <v>16</v>
      </c>
      <c r="G11" s="2838"/>
      <c r="H11" s="2836" t="s">
        <v>16</v>
      </c>
      <c r="I11" s="2838"/>
      <c r="J11" s="2836" t="s">
        <v>16</v>
      </c>
      <c r="K11" s="976"/>
      <c r="L11" s="2836" t="s">
        <v>16</v>
      </c>
      <c r="M11" s="2838"/>
      <c r="N11" s="2836" t="s">
        <v>16</v>
      </c>
      <c r="O11" s="2838"/>
      <c r="P11" s="2836" t="s">
        <v>16</v>
      </c>
      <c r="Q11" s="2838"/>
      <c r="R11" s="2836" t="s">
        <v>16</v>
      </c>
      <c r="S11" s="2838"/>
      <c r="T11" s="2836" t="s">
        <v>16</v>
      </c>
      <c r="U11" s="2838"/>
      <c r="V11" s="2836" t="s">
        <v>16</v>
      </c>
      <c r="W11" s="2838"/>
      <c r="X11" s="2836" t="s">
        <v>16</v>
      </c>
      <c r="Y11" s="2838"/>
      <c r="Z11" s="2839" t="s">
        <v>16</v>
      </c>
      <c r="AB11" s="978"/>
      <c r="AC11" s="978"/>
      <c r="AD11" s="978"/>
      <c r="AE11" s="978"/>
      <c r="AF11" s="978"/>
      <c r="AG11" s="978"/>
      <c r="AH11" s="978"/>
      <c r="AI11" s="978"/>
      <c r="AJ11" s="978"/>
      <c r="AK11" s="978"/>
      <c r="AL11" s="978"/>
      <c r="AM11" s="978"/>
      <c r="AN11" s="978"/>
    </row>
    <row r="12" spans="1:40" s="983" customFormat="1" ht="15" customHeight="1">
      <c r="A12" s="1860" t="s">
        <v>517</v>
      </c>
      <c r="B12" s="979">
        <v>9025679</v>
      </c>
      <c r="C12" s="980"/>
      <c r="D12" s="979">
        <f>+B46</f>
        <v>196475771</v>
      </c>
      <c r="E12" s="2840"/>
      <c r="F12" s="979">
        <f>+D46</f>
        <v>66608124</v>
      </c>
      <c r="G12" s="2840"/>
      <c r="H12" s="979">
        <f>+F46</f>
        <v>178215656</v>
      </c>
      <c r="I12" s="2840"/>
      <c r="J12" s="979">
        <f>H46</f>
        <v>97962678</v>
      </c>
      <c r="K12" s="981"/>
      <c r="L12" s="979">
        <f>+J46</f>
        <v>99630322</v>
      </c>
      <c r="M12" s="982"/>
      <c r="N12" s="979">
        <f>+L46</f>
        <v>114513887</v>
      </c>
      <c r="O12" s="979"/>
      <c r="P12" s="979"/>
      <c r="Q12" s="979"/>
      <c r="R12" s="979"/>
      <c r="S12" s="979"/>
      <c r="T12" s="979"/>
      <c r="U12" s="979"/>
      <c r="V12" s="979"/>
      <c r="W12" s="979"/>
      <c r="X12" s="979"/>
      <c r="Y12" s="979"/>
      <c r="Z12" s="979">
        <f>+B12</f>
        <v>9025679</v>
      </c>
    </row>
    <row r="13" spans="1:40" ht="15" customHeight="1">
      <c r="A13" s="2841"/>
      <c r="B13" s="2842"/>
      <c r="C13" s="2843"/>
      <c r="D13" s="2842"/>
      <c r="E13" s="2842"/>
      <c r="F13" s="2842"/>
      <c r="G13" s="2842"/>
      <c r="H13" s="2842"/>
      <c r="I13" s="2842"/>
      <c r="J13" s="2842"/>
      <c r="K13" s="976"/>
      <c r="L13" s="2842"/>
      <c r="M13" s="2842"/>
      <c r="N13" s="2842"/>
      <c r="O13" s="2842"/>
      <c r="P13" s="2842"/>
      <c r="Q13" s="2842"/>
      <c r="R13" s="2842"/>
      <c r="S13" s="2842"/>
      <c r="T13" s="2842"/>
      <c r="U13" s="2842"/>
      <c r="V13" s="2842"/>
      <c r="W13" s="2842"/>
      <c r="X13" s="2842"/>
      <c r="Y13" s="2842"/>
      <c r="Z13" s="2844"/>
    </row>
    <row r="14" spans="1:40" ht="15" customHeight="1">
      <c r="A14" s="984" t="s">
        <v>15</v>
      </c>
      <c r="B14" s="2842"/>
      <c r="C14" s="2843"/>
      <c r="D14" s="2842"/>
      <c r="E14" s="2842"/>
      <c r="F14" s="2842"/>
      <c r="G14" s="2842"/>
      <c r="H14" s="2842"/>
      <c r="I14" s="2842"/>
      <c r="J14" s="2842"/>
      <c r="K14" s="2842"/>
      <c r="L14" s="2842"/>
      <c r="M14" s="2842"/>
      <c r="N14" s="2842"/>
      <c r="O14" s="2842"/>
      <c r="P14" s="2842"/>
      <c r="Q14" s="2842"/>
      <c r="R14" s="2842"/>
      <c r="S14" s="2842"/>
      <c r="T14" s="2842"/>
      <c r="U14" s="2842"/>
      <c r="V14" s="2842"/>
      <c r="W14" s="2842"/>
      <c r="X14" s="2842"/>
      <c r="Y14" s="2842"/>
      <c r="Z14" s="2844"/>
    </row>
    <row r="15" spans="1:40" ht="15" customHeight="1">
      <c r="A15" s="1861" t="s">
        <v>518</v>
      </c>
      <c r="B15" s="2845">
        <v>86225065</v>
      </c>
      <c r="C15" s="2846"/>
      <c r="D15" s="2845">
        <v>79437551</v>
      </c>
      <c r="E15" s="2845"/>
      <c r="F15" s="2845">
        <v>81085023</v>
      </c>
      <c r="G15" s="2845"/>
      <c r="H15" s="2845">
        <v>93861862</v>
      </c>
      <c r="I15" s="2845"/>
      <c r="J15" s="2845">
        <v>85303588</v>
      </c>
      <c r="K15" s="2845"/>
      <c r="L15" s="2845">
        <v>87074834</v>
      </c>
      <c r="M15" s="2842"/>
      <c r="N15" s="2845">
        <v>85900008</v>
      </c>
      <c r="O15" s="2845"/>
      <c r="P15" s="2845"/>
      <c r="Q15" s="2845"/>
      <c r="R15" s="2845"/>
      <c r="S15" s="2845"/>
      <c r="T15" s="2845"/>
      <c r="U15" s="2845"/>
      <c r="V15" s="2845"/>
      <c r="W15" s="2845"/>
      <c r="X15" s="2845"/>
      <c r="Y15" s="2845"/>
      <c r="Z15" s="2847">
        <f>ROUND(SUM(B15:X15),0)</f>
        <v>598887931</v>
      </c>
    </row>
    <row r="16" spans="1:40" ht="15" customHeight="1">
      <c r="A16" s="1861" t="s">
        <v>519</v>
      </c>
      <c r="B16" s="2845">
        <v>4012000</v>
      </c>
      <c r="C16" s="2846"/>
      <c r="D16" s="2845">
        <v>3554000</v>
      </c>
      <c r="E16" s="2845"/>
      <c r="F16" s="2845">
        <v>3770000</v>
      </c>
      <c r="G16" s="2845"/>
      <c r="H16" s="2845">
        <v>4006000</v>
      </c>
      <c r="I16" s="2845"/>
      <c r="J16" s="2845">
        <v>4032000</v>
      </c>
      <c r="K16" s="2845"/>
      <c r="L16" s="2845">
        <v>3268000</v>
      </c>
      <c r="M16" s="2842"/>
      <c r="N16" s="2845">
        <v>4444000</v>
      </c>
      <c r="O16" s="2845"/>
      <c r="P16" s="2845"/>
      <c r="Q16" s="2845"/>
      <c r="R16" s="2845"/>
      <c r="S16" s="2845"/>
      <c r="T16" s="2845"/>
      <c r="U16" s="2845"/>
      <c r="V16" s="2845"/>
      <c r="W16" s="2845"/>
      <c r="X16" s="2845"/>
      <c r="Y16" s="2845"/>
      <c r="Z16" s="2847">
        <f t="shared" ref="Z16:Z23" si="0">ROUND(SUM(B16:X16),0)</f>
        <v>27086000</v>
      </c>
    </row>
    <row r="17" spans="1:28" ht="15" customHeight="1">
      <c r="A17" s="1861" t="s">
        <v>520</v>
      </c>
      <c r="B17" s="2845">
        <v>21843</v>
      </c>
      <c r="C17" s="2846"/>
      <c r="D17" s="2845">
        <v>29086</v>
      </c>
      <c r="E17" s="2845"/>
      <c r="F17" s="2845">
        <v>41336</v>
      </c>
      <c r="G17" s="2845"/>
      <c r="H17" s="2845">
        <v>19299</v>
      </c>
      <c r="I17" s="2845"/>
      <c r="J17" s="2848">
        <v>25741</v>
      </c>
      <c r="K17" s="2845"/>
      <c r="L17" s="2845">
        <v>21083</v>
      </c>
      <c r="M17" s="2842"/>
      <c r="N17" s="2845">
        <v>19248</v>
      </c>
      <c r="O17" s="2845"/>
      <c r="P17" s="2845"/>
      <c r="Q17" s="2845"/>
      <c r="R17" s="2845"/>
      <c r="S17" s="2845"/>
      <c r="T17" s="2845"/>
      <c r="U17" s="2845"/>
      <c r="V17" s="2845"/>
      <c r="W17" s="2845"/>
      <c r="X17" s="2845"/>
      <c r="Y17" s="2845"/>
      <c r="Z17" s="2847">
        <f t="shared" si="0"/>
        <v>177636</v>
      </c>
    </row>
    <row r="18" spans="1:28" ht="15" customHeight="1">
      <c r="A18" s="1861" t="s">
        <v>521</v>
      </c>
      <c r="B18" s="2848">
        <v>0</v>
      </c>
      <c r="C18" s="2849"/>
      <c r="D18" s="2845">
        <v>0</v>
      </c>
      <c r="E18" s="2848"/>
      <c r="F18" s="2848">
        <v>0</v>
      </c>
      <c r="G18" s="2848"/>
      <c r="H18" s="2848">
        <v>0</v>
      </c>
      <c r="I18" s="2845"/>
      <c r="J18" s="2848">
        <v>0</v>
      </c>
      <c r="K18" s="2850"/>
      <c r="L18" s="2848">
        <v>0</v>
      </c>
      <c r="M18" s="2842"/>
      <c r="N18" s="2848">
        <v>0</v>
      </c>
      <c r="O18" s="2845"/>
      <c r="P18" s="2848"/>
      <c r="Q18" s="2845"/>
      <c r="R18" s="2848"/>
      <c r="S18" s="2845"/>
      <c r="T18" s="2848"/>
      <c r="U18" s="2845"/>
      <c r="V18" s="2848"/>
      <c r="W18" s="2845"/>
      <c r="X18" s="2848"/>
      <c r="Y18" s="2845"/>
      <c r="Z18" s="2847">
        <f t="shared" si="0"/>
        <v>0</v>
      </c>
    </row>
    <row r="19" spans="1:28" ht="15" customHeight="1">
      <c r="A19" s="1861" t="s">
        <v>522</v>
      </c>
      <c r="B19" s="2845">
        <v>327312964</v>
      </c>
      <c r="C19" s="2846"/>
      <c r="D19" s="2845">
        <v>372120819</v>
      </c>
      <c r="E19" s="2845"/>
      <c r="F19" s="2845">
        <v>353024601</v>
      </c>
      <c r="G19" s="2845"/>
      <c r="H19" s="2845">
        <v>394411055</v>
      </c>
      <c r="I19" s="2845"/>
      <c r="J19" s="2845">
        <v>347150947</v>
      </c>
      <c r="K19" s="2845"/>
      <c r="L19" s="2845">
        <v>365216101</v>
      </c>
      <c r="M19" s="2842"/>
      <c r="N19" s="2845">
        <v>376938126</v>
      </c>
      <c r="O19" s="2845"/>
      <c r="P19" s="2845"/>
      <c r="Q19" s="2845"/>
      <c r="R19" s="2845"/>
      <c r="S19" s="2845"/>
      <c r="T19" s="2845"/>
      <c r="U19" s="2845"/>
      <c r="V19" s="2845"/>
      <c r="W19" s="2845"/>
      <c r="X19" s="2845"/>
      <c r="Y19" s="2845"/>
      <c r="Z19" s="2847">
        <f t="shared" si="0"/>
        <v>2536174613</v>
      </c>
    </row>
    <row r="20" spans="1:28" ht="15" customHeight="1">
      <c r="A20" s="1861" t="s">
        <v>523</v>
      </c>
      <c r="B20" s="2851">
        <v>490000</v>
      </c>
      <c r="C20" s="2849"/>
      <c r="D20" s="2845">
        <v>83000</v>
      </c>
      <c r="E20" s="2845"/>
      <c r="F20" s="2851">
        <v>1673000</v>
      </c>
      <c r="G20" s="2845"/>
      <c r="H20" s="2851">
        <v>516000</v>
      </c>
      <c r="I20" s="2845"/>
      <c r="J20" s="2845">
        <v>52000</v>
      </c>
      <c r="K20" s="2852"/>
      <c r="L20" s="2845">
        <v>1304000</v>
      </c>
      <c r="M20" s="2842"/>
      <c r="N20" s="2845">
        <v>440000</v>
      </c>
      <c r="O20" s="2845"/>
      <c r="P20" s="2853"/>
      <c r="Q20" s="2845"/>
      <c r="R20" s="2853"/>
      <c r="S20" s="2845"/>
      <c r="T20" s="2851"/>
      <c r="U20" s="2845"/>
      <c r="V20" s="2848"/>
      <c r="W20" s="2848"/>
      <c r="X20" s="2851"/>
      <c r="Y20" s="2845"/>
      <c r="Z20" s="2847">
        <f t="shared" si="0"/>
        <v>4558000</v>
      </c>
    </row>
    <row r="21" spans="1:28" ht="15" customHeight="1">
      <c r="A21" s="1861" t="s">
        <v>524</v>
      </c>
      <c r="B21" s="2851">
        <v>1076540</v>
      </c>
      <c r="C21" s="2849"/>
      <c r="D21" s="2845">
        <v>500</v>
      </c>
      <c r="E21" s="2845"/>
      <c r="F21" s="2851">
        <v>373042</v>
      </c>
      <c r="G21" s="2845"/>
      <c r="H21" s="2848">
        <v>16866988</v>
      </c>
      <c r="I21" s="2845"/>
      <c r="J21" s="2848">
        <v>554327</v>
      </c>
      <c r="K21" s="2852"/>
      <c r="L21" s="2848">
        <v>783284</v>
      </c>
      <c r="M21" s="2842"/>
      <c r="N21" s="2848">
        <v>3739321</v>
      </c>
      <c r="O21" s="2845"/>
      <c r="P21" s="2845"/>
      <c r="Q21" s="2845"/>
      <c r="R21" s="2845"/>
      <c r="S21" s="2845"/>
      <c r="T21" s="2848"/>
      <c r="U21" s="2845"/>
      <c r="V21" s="2848"/>
      <c r="W21" s="2848"/>
      <c r="X21" s="2851"/>
      <c r="Y21" s="2845"/>
      <c r="Z21" s="2847">
        <f t="shared" si="0"/>
        <v>23394002</v>
      </c>
    </row>
    <row r="22" spans="1:28" ht="15" customHeight="1">
      <c r="A22" s="1861" t="s">
        <v>525</v>
      </c>
      <c r="B22" s="2851">
        <v>52000</v>
      </c>
      <c r="C22" s="2849"/>
      <c r="D22" s="2845">
        <v>0</v>
      </c>
      <c r="E22" s="2845"/>
      <c r="F22" s="2851">
        <v>0</v>
      </c>
      <c r="G22" s="2845"/>
      <c r="H22" s="2851">
        <v>0</v>
      </c>
      <c r="I22" s="2845"/>
      <c r="J22" s="2845">
        <v>0</v>
      </c>
      <c r="K22" s="2852"/>
      <c r="L22" s="2845">
        <v>49000</v>
      </c>
      <c r="M22" s="2842"/>
      <c r="N22" s="2845">
        <v>0</v>
      </c>
      <c r="O22" s="2845"/>
      <c r="P22" s="2845"/>
      <c r="Q22" s="2845"/>
      <c r="R22" s="2845"/>
      <c r="S22" s="2845"/>
      <c r="T22" s="2848"/>
      <c r="U22" s="2845"/>
      <c r="V22" s="2851"/>
      <c r="W22" s="2848"/>
      <c r="X22" s="2848"/>
      <c r="Y22" s="2845"/>
      <c r="Z22" s="2847">
        <f t="shared" si="0"/>
        <v>101000</v>
      </c>
    </row>
    <row r="23" spans="1:28" ht="15" customHeight="1">
      <c r="A23" s="1861" t="s">
        <v>526</v>
      </c>
      <c r="B23" s="2848">
        <v>0</v>
      </c>
      <c r="C23" s="2854"/>
      <c r="D23" s="2845">
        <v>0</v>
      </c>
      <c r="E23" s="2845"/>
      <c r="F23" s="2848">
        <v>0</v>
      </c>
      <c r="G23" s="2845"/>
      <c r="H23" s="2845">
        <v>1680</v>
      </c>
      <c r="I23" s="2845"/>
      <c r="J23" s="2848">
        <v>2313</v>
      </c>
      <c r="K23" s="2845"/>
      <c r="L23" s="2852">
        <v>309</v>
      </c>
      <c r="M23" s="2842"/>
      <c r="N23" s="2848">
        <v>15287</v>
      </c>
      <c r="O23" s="2845"/>
      <c r="P23" s="2848"/>
      <c r="Q23" s="2845"/>
      <c r="R23" s="2848"/>
      <c r="S23" s="2845"/>
      <c r="T23" s="2848"/>
      <c r="U23" s="2845"/>
      <c r="V23" s="2851"/>
      <c r="W23" s="2845"/>
      <c r="X23" s="2852"/>
      <c r="Y23" s="2845"/>
      <c r="Z23" s="2847">
        <f t="shared" si="0"/>
        <v>19589</v>
      </c>
    </row>
    <row r="24" spans="1:28" s="983" customFormat="1" ht="22.5" customHeight="1">
      <c r="A24" s="984" t="s">
        <v>158</v>
      </c>
      <c r="B24" s="985">
        <f>ROUND(SUM(B15:B23),0)</f>
        <v>419190412</v>
      </c>
      <c r="C24" s="986"/>
      <c r="D24" s="985">
        <f>ROUND(SUM(D15:D23),0)</f>
        <v>455224956</v>
      </c>
      <c r="E24" s="987"/>
      <c r="F24" s="985">
        <f>ROUND(SUM(F15:F23),0)</f>
        <v>439967002</v>
      </c>
      <c r="G24" s="987"/>
      <c r="H24" s="985">
        <f>ROUND(SUM(H15:H23),0)</f>
        <v>509682884</v>
      </c>
      <c r="I24" s="987"/>
      <c r="J24" s="985">
        <f>ROUND(SUM(J15:J23),0)</f>
        <v>437120916</v>
      </c>
      <c r="K24" s="989"/>
      <c r="L24" s="985">
        <f>ROUND(SUM(L15:L23),0)</f>
        <v>457716611</v>
      </c>
      <c r="M24" s="982"/>
      <c r="N24" s="985">
        <f>ROUND(SUM(N15:N23),0)</f>
        <v>471495990</v>
      </c>
      <c r="O24" s="987"/>
      <c r="P24" s="985">
        <f>ROUND(SUM(P15:P23),0)</f>
        <v>0</v>
      </c>
      <c r="Q24" s="987"/>
      <c r="R24" s="985">
        <f>ROUND(SUM(R15:R23),0)</f>
        <v>0</v>
      </c>
      <c r="S24" s="987"/>
      <c r="T24" s="985">
        <f>ROUND(SUM(T15:T23),0)</f>
        <v>0</v>
      </c>
      <c r="U24" s="987"/>
      <c r="V24" s="985">
        <f>ROUND(SUM(V15:V23),0)</f>
        <v>0</v>
      </c>
      <c r="W24" s="987"/>
      <c r="X24" s="985">
        <f>ROUND(SUM(X15:X23),0)</f>
        <v>0</v>
      </c>
      <c r="Y24" s="987"/>
      <c r="Z24" s="985">
        <f>ROUND(SUM(Z15:Z23),0)</f>
        <v>3190398771</v>
      </c>
      <c r="AB24" s="784"/>
    </row>
    <row r="25" spans="1:28" ht="15" customHeight="1">
      <c r="A25" s="2841"/>
      <c r="B25" s="2845"/>
      <c r="C25" s="2846"/>
      <c r="D25" s="2845"/>
      <c r="E25" s="2845"/>
      <c r="F25" s="2845"/>
      <c r="G25" s="2845"/>
      <c r="H25" s="2845"/>
      <c r="I25" s="2845"/>
      <c r="J25" s="2845"/>
      <c r="K25" s="2845"/>
      <c r="L25" s="2845"/>
      <c r="M25" s="2842"/>
      <c r="N25" s="2845"/>
      <c r="O25" s="2845"/>
      <c r="P25" s="2845"/>
      <c r="Q25" s="2845"/>
      <c r="R25" s="2845"/>
      <c r="S25" s="2845"/>
      <c r="T25" s="2845"/>
      <c r="U25" s="2845"/>
      <c r="V25" s="2845"/>
      <c r="W25" s="2845"/>
      <c r="X25" s="2845"/>
      <c r="Y25" s="2845"/>
      <c r="Z25" s="2855"/>
    </row>
    <row r="26" spans="1:28" ht="15" customHeight="1">
      <c r="A26" s="984" t="s">
        <v>24</v>
      </c>
      <c r="B26" s="2845"/>
      <c r="C26" s="2846"/>
      <c r="D26" s="2845"/>
      <c r="E26" s="2845"/>
      <c r="F26" s="2845"/>
      <c r="G26" s="2845"/>
      <c r="H26" s="2845"/>
      <c r="I26" s="2845"/>
      <c r="J26" s="2845"/>
      <c r="K26" s="2845"/>
      <c r="L26" s="2845"/>
      <c r="M26" s="2842"/>
      <c r="N26" s="2845"/>
      <c r="O26" s="2845"/>
      <c r="P26" s="2845"/>
      <c r="Q26" s="2845"/>
      <c r="R26" s="2845"/>
      <c r="S26" s="2845"/>
      <c r="T26" s="2845"/>
      <c r="U26" s="2845"/>
      <c r="V26" s="2845"/>
      <c r="W26" s="2845"/>
      <c r="X26" s="2845"/>
      <c r="Y26" s="2845"/>
      <c r="Z26" s="2855"/>
    </row>
    <row r="27" spans="1:28" ht="15" customHeight="1">
      <c r="A27" s="1862" t="s">
        <v>527</v>
      </c>
      <c r="B27" s="2856">
        <v>228480717</v>
      </c>
      <c r="C27" s="2857"/>
      <c r="D27" s="2845">
        <v>581736155</v>
      </c>
      <c r="E27" s="2856"/>
      <c r="F27" s="2856">
        <v>315835722</v>
      </c>
      <c r="G27" s="2856"/>
      <c r="H27" s="2856">
        <v>586191597</v>
      </c>
      <c r="I27" s="2856"/>
      <c r="J27" s="2856">
        <v>429440168</v>
      </c>
      <c r="K27" s="2856"/>
      <c r="L27" s="2856">
        <v>427810646</v>
      </c>
      <c r="M27" s="2858"/>
      <c r="N27" s="2856">
        <v>504309583</v>
      </c>
      <c r="O27" s="2856"/>
      <c r="P27" s="2856"/>
      <c r="Q27" s="2856"/>
      <c r="R27" s="2856"/>
      <c r="S27" s="2856"/>
      <c r="T27" s="2856"/>
      <c r="U27" s="2856"/>
      <c r="V27" s="2856"/>
      <c r="W27" s="2856"/>
      <c r="X27" s="2856"/>
      <c r="Y27" s="2856"/>
      <c r="Z27" s="2847">
        <f>ROUND(SUM(B27:X27),0)</f>
        <v>3073804588</v>
      </c>
    </row>
    <row r="28" spans="1:28" ht="15" customHeight="1">
      <c r="A28" s="1862" t="s">
        <v>528</v>
      </c>
      <c r="B28" s="2856">
        <v>179</v>
      </c>
      <c r="C28" s="2857"/>
      <c r="D28" s="2845">
        <v>2502</v>
      </c>
      <c r="E28" s="2856"/>
      <c r="F28" s="2856">
        <v>-1829</v>
      </c>
      <c r="G28" s="2856"/>
      <c r="H28" s="2856">
        <v>923</v>
      </c>
      <c r="I28" s="2856"/>
      <c r="J28" s="2856">
        <v>2472</v>
      </c>
      <c r="K28" s="2856"/>
      <c r="L28" s="2856">
        <v>6504</v>
      </c>
      <c r="M28" s="2858"/>
      <c r="N28" s="2859">
        <v>2730</v>
      </c>
      <c r="O28" s="2856"/>
      <c r="P28" s="2860"/>
      <c r="Q28" s="2856"/>
      <c r="R28" s="2856"/>
      <c r="S28" s="2856"/>
      <c r="T28" s="2859"/>
      <c r="U28" s="2856"/>
      <c r="V28" s="2856"/>
      <c r="W28" s="2856"/>
      <c r="X28" s="2861"/>
      <c r="Y28" s="2856"/>
      <c r="Z28" s="2847">
        <f>ROUND(SUM(B28:X28),0)</f>
        <v>13481</v>
      </c>
      <c r="AB28" s="785"/>
    </row>
    <row r="29" spans="1:28" ht="15" customHeight="1">
      <c r="A29" s="1862" t="s">
        <v>529</v>
      </c>
      <c r="B29" s="2856">
        <v>789665</v>
      </c>
      <c r="C29" s="2857"/>
      <c r="D29" s="2845">
        <v>804645</v>
      </c>
      <c r="E29" s="2856"/>
      <c r="F29" s="2856">
        <v>476998</v>
      </c>
      <c r="G29" s="2856"/>
      <c r="H29" s="2856">
        <v>1161934</v>
      </c>
      <c r="I29" s="2856"/>
      <c r="J29" s="2856">
        <v>771857</v>
      </c>
      <c r="K29" s="2856"/>
      <c r="L29" s="2856">
        <v>538165</v>
      </c>
      <c r="M29" s="2858"/>
      <c r="N29" s="2859">
        <v>486546</v>
      </c>
      <c r="O29" s="2856"/>
      <c r="P29" s="2860"/>
      <c r="Q29" s="2856"/>
      <c r="R29" s="2856"/>
      <c r="S29" s="2856"/>
      <c r="T29" s="2856"/>
      <c r="U29" s="2856"/>
      <c r="V29" s="2856"/>
      <c r="W29" s="2856"/>
      <c r="X29" s="2856"/>
      <c r="Y29" s="2856"/>
      <c r="Z29" s="2847">
        <f>ROUND(SUM(B29:X29),0)</f>
        <v>5029810</v>
      </c>
    </row>
    <row r="30" spans="1:28" ht="15" customHeight="1">
      <c r="A30" s="1862" t="s">
        <v>530</v>
      </c>
      <c r="B30" s="2856">
        <v>1766643</v>
      </c>
      <c r="C30" s="2857"/>
      <c r="D30" s="2845">
        <v>1232981</v>
      </c>
      <c r="E30" s="2856"/>
      <c r="F30" s="2861">
        <v>947236</v>
      </c>
      <c r="G30" s="2856"/>
      <c r="H30" s="2856">
        <v>1650314</v>
      </c>
      <c r="I30" s="2856"/>
      <c r="J30" s="2856">
        <v>2192889</v>
      </c>
      <c r="K30" s="2856"/>
      <c r="L30" s="2856">
        <v>4368247</v>
      </c>
      <c r="M30" s="2858"/>
      <c r="N30" s="2859">
        <v>3770971</v>
      </c>
      <c r="O30" s="2856"/>
      <c r="P30" s="2860"/>
      <c r="Q30" s="2856"/>
      <c r="R30" s="2856"/>
      <c r="S30" s="2856"/>
      <c r="T30" s="2856"/>
      <c r="U30" s="2856"/>
      <c r="V30" s="2856"/>
      <c r="W30" s="2856"/>
      <c r="X30" s="2856"/>
      <c r="Y30" s="2856"/>
      <c r="Z30" s="2847">
        <f>ROUND(SUM(B30:X30),0)</f>
        <v>15929281</v>
      </c>
    </row>
    <row r="31" spans="1:28" ht="15" customHeight="1">
      <c r="A31" s="1862" t="s">
        <v>531</v>
      </c>
      <c r="B31" s="2862">
        <v>0</v>
      </c>
      <c r="C31" s="2857"/>
      <c r="D31" s="2845">
        <v>670503</v>
      </c>
      <c r="E31" s="2856"/>
      <c r="F31" s="2863">
        <v>392594</v>
      </c>
      <c r="G31" s="2856"/>
      <c r="H31" s="2862">
        <v>0</v>
      </c>
      <c r="I31" s="2856"/>
      <c r="J31" s="2856">
        <v>1033814</v>
      </c>
      <c r="K31" s="2856"/>
      <c r="L31" s="2856">
        <v>91056</v>
      </c>
      <c r="M31" s="2858"/>
      <c r="N31" s="2862">
        <v>0</v>
      </c>
      <c r="O31" s="2856"/>
      <c r="P31" s="2856"/>
      <c r="Q31" s="2856"/>
      <c r="R31" s="2861"/>
      <c r="S31" s="2856"/>
      <c r="T31" s="2863"/>
      <c r="U31" s="2856"/>
      <c r="V31" s="2863"/>
      <c r="W31" s="2856"/>
      <c r="X31" s="2861"/>
      <c r="Y31" s="2856"/>
      <c r="Z31" s="2847">
        <f>ROUND(SUM(B31:X31),0)</f>
        <v>2187967</v>
      </c>
    </row>
    <row r="32" spans="1:28" ht="22.5" customHeight="1">
      <c r="A32" s="990" t="s">
        <v>164</v>
      </c>
      <c r="B32" s="988">
        <f>ROUND(SUM(B27:B31),0)</f>
        <v>231037204</v>
      </c>
      <c r="C32" s="2857"/>
      <c r="D32" s="988">
        <f>ROUND(SUM(D27:D31),0)</f>
        <v>584446786</v>
      </c>
      <c r="E32" s="2856"/>
      <c r="F32" s="988">
        <f>ROUND(SUM(F27:F31),0)</f>
        <v>317650721</v>
      </c>
      <c r="G32" s="2856"/>
      <c r="H32" s="988">
        <f>ROUND(SUM(H27:H31),0)</f>
        <v>589004768</v>
      </c>
      <c r="I32" s="2856"/>
      <c r="J32" s="988">
        <f>ROUND(SUM(J27:J31),0)</f>
        <v>433441200</v>
      </c>
      <c r="K32" s="2856"/>
      <c r="L32" s="988">
        <f>ROUND(SUM(L27:L31),0)</f>
        <v>432814618</v>
      </c>
      <c r="M32" s="2858"/>
      <c r="N32" s="988">
        <f>ROUND(SUM(N27:N31),0)</f>
        <v>508569830</v>
      </c>
      <c r="O32" s="2856"/>
      <c r="P32" s="988">
        <f>ROUND(SUM(P27:P31),0)</f>
        <v>0</v>
      </c>
      <c r="Q32" s="2856"/>
      <c r="R32" s="988">
        <f>ROUND(SUM(R27:R31),0)</f>
        <v>0</v>
      </c>
      <c r="S32" s="2856"/>
      <c r="T32" s="988">
        <f>ROUND(SUM(T27:T31),0)</f>
        <v>0</v>
      </c>
      <c r="U32" s="2856"/>
      <c r="V32" s="988">
        <f>ROUND(SUM(V27:V31),0)</f>
        <v>0</v>
      </c>
      <c r="W32" s="2856"/>
      <c r="X32" s="988">
        <f>ROUND(SUM(X27:X31),0)</f>
        <v>0</v>
      </c>
      <c r="Y32" s="2856"/>
      <c r="Z32" s="988">
        <f>ROUND(SUM(Z27:Z31),0)</f>
        <v>3096965127</v>
      </c>
    </row>
    <row r="33" spans="1:28" ht="15" customHeight="1">
      <c r="A33" s="990"/>
      <c r="B33" s="2856"/>
      <c r="C33" s="2857"/>
      <c r="D33" s="2856"/>
      <c r="E33" s="2856"/>
      <c r="F33" s="2862"/>
      <c r="G33" s="2856"/>
      <c r="H33" s="2862"/>
      <c r="I33" s="2856"/>
      <c r="J33" s="2856"/>
      <c r="K33" s="2856"/>
      <c r="L33" s="2861"/>
      <c r="M33" s="2858"/>
      <c r="N33" s="2861"/>
      <c r="O33" s="2856"/>
      <c r="P33" s="2860"/>
      <c r="Q33" s="2856"/>
      <c r="R33" s="2862"/>
      <c r="S33" s="2856"/>
      <c r="T33" s="2862"/>
      <c r="U33" s="2856"/>
      <c r="V33" s="2857"/>
      <c r="W33" s="2856"/>
      <c r="X33" s="2862"/>
      <c r="Y33" s="2856"/>
      <c r="Z33" s="2847"/>
    </row>
    <row r="34" spans="1:28" ht="15" customHeight="1">
      <c r="A34" s="991" t="s">
        <v>532</v>
      </c>
      <c r="B34" s="2862"/>
      <c r="C34" s="2864"/>
      <c r="D34" s="2862"/>
      <c r="E34" s="2856"/>
      <c r="F34" s="2861"/>
      <c r="G34" s="2856"/>
      <c r="H34" s="2862"/>
      <c r="I34" s="2856"/>
      <c r="J34" s="2862"/>
      <c r="K34" s="2856"/>
      <c r="L34" s="2862"/>
      <c r="M34" s="2858"/>
      <c r="N34" s="2862"/>
      <c r="O34" s="2856"/>
      <c r="P34" s="2860"/>
      <c r="Q34" s="2856"/>
      <c r="R34" s="2862"/>
      <c r="S34" s="2856"/>
      <c r="T34" s="2862"/>
      <c r="U34" s="2856"/>
      <c r="V34" s="2861"/>
      <c r="W34" s="2856"/>
      <c r="X34" s="2861"/>
      <c r="Y34" s="2856"/>
      <c r="Z34" s="2847"/>
    </row>
    <row r="35" spans="1:28" ht="15" customHeight="1">
      <c r="A35" s="1862" t="s">
        <v>533</v>
      </c>
      <c r="B35" s="2862">
        <v>0</v>
      </c>
      <c r="C35" s="2864"/>
      <c r="D35" s="2845">
        <v>0</v>
      </c>
      <c r="E35" s="2856"/>
      <c r="F35" s="2862">
        <v>0</v>
      </c>
      <c r="G35" s="2856"/>
      <c r="H35" s="2862">
        <v>0</v>
      </c>
      <c r="I35" s="2856"/>
      <c r="J35" s="2862">
        <v>0</v>
      </c>
      <c r="K35" s="2856"/>
      <c r="L35" s="2862">
        <v>0</v>
      </c>
      <c r="M35" s="2858"/>
      <c r="N35" s="2861">
        <v>0</v>
      </c>
      <c r="O35" s="2856"/>
      <c r="P35" s="2862"/>
      <c r="Q35" s="2856"/>
      <c r="R35" s="2863"/>
      <c r="S35" s="2856"/>
      <c r="T35" s="2863"/>
      <c r="U35" s="2856"/>
      <c r="V35" s="2863"/>
      <c r="W35" s="2856"/>
      <c r="X35" s="2863"/>
      <c r="Y35" s="2856"/>
      <c r="Z35" s="2847">
        <f t="shared" ref="Z35:Z41" si="1">ROUND(SUM(B35:X35),0)</f>
        <v>0</v>
      </c>
    </row>
    <row r="36" spans="1:28" ht="15" customHeight="1">
      <c r="A36" s="1862" t="s">
        <v>534</v>
      </c>
      <c r="B36" s="2862">
        <v>0</v>
      </c>
      <c r="C36" s="2864"/>
      <c r="D36" s="2845">
        <v>0</v>
      </c>
      <c r="E36" s="2856"/>
      <c r="F36" s="2862">
        <v>0</v>
      </c>
      <c r="G36" s="2856"/>
      <c r="H36" s="2862">
        <v>0</v>
      </c>
      <c r="I36" s="2856"/>
      <c r="J36" s="2862">
        <v>0</v>
      </c>
      <c r="K36" s="2856"/>
      <c r="L36" s="2862">
        <v>0</v>
      </c>
      <c r="M36" s="2858"/>
      <c r="N36" s="2862">
        <v>0</v>
      </c>
      <c r="O36" s="2856"/>
      <c r="P36" s="2862"/>
      <c r="Q36" s="2856"/>
      <c r="R36" s="2862"/>
      <c r="S36" s="2856"/>
      <c r="T36" s="2848"/>
      <c r="U36" s="2856"/>
      <c r="V36" s="2848"/>
      <c r="W36" s="2856"/>
      <c r="X36" s="2862"/>
      <c r="Y36" s="2856"/>
      <c r="Z36" s="2847">
        <f t="shared" si="1"/>
        <v>0</v>
      </c>
    </row>
    <row r="37" spans="1:28" ht="15" customHeight="1">
      <c r="A37" s="1862" t="s">
        <v>152</v>
      </c>
      <c r="B37" s="2862">
        <v>0</v>
      </c>
      <c r="C37" s="2864"/>
      <c r="D37" s="2845">
        <v>0</v>
      </c>
      <c r="E37" s="2856"/>
      <c r="F37" s="2862">
        <v>0</v>
      </c>
      <c r="G37" s="2856"/>
      <c r="H37" s="2862">
        <v>0</v>
      </c>
      <c r="I37" s="2856"/>
      <c r="J37" s="2863">
        <v>1306200</v>
      </c>
      <c r="K37" s="2856"/>
      <c r="L37" s="2861">
        <v>9320933</v>
      </c>
      <c r="M37" s="2858"/>
      <c r="N37" s="2862">
        <v>0</v>
      </c>
      <c r="O37" s="2856"/>
      <c r="P37" s="2862"/>
      <c r="Q37" s="2856"/>
      <c r="R37" s="2862"/>
      <c r="S37" s="2856"/>
      <c r="T37" s="2848"/>
      <c r="U37" s="2856"/>
      <c r="V37" s="2863"/>
      <c r="W37" s="2856"/>
      <c r="X37" s="2863"/>
      <c r="Y37" s="2856"/>
      <c r="Z37" s="2847">
        <f t="shared" si="1"/>
        <v>10627133</v>
      </c>
    </row>
    <row r="38" spans="1:28" ht="13.5" customHeight="1">
      <c r="A38" s="1862" t="s">
        <v>535</v>
      </c>
      <c r="B38" s="992"/>
      <c r="C38" s="992"/>
      <c r="D38" s="2845"/>
      <c r="E38" s="992"/>
      <c r="F38" s="992"/>
      <c r="G38" s="992"/>
      <c r="H38" s="992"/>
      <c r="I38" s="992"/>
      <c r="J38" s="992"/>
      <c r="K38" s="992"/>
      <c r="L38" s="992"/>
      <c r="M38" s="2858"/>
      <c r="N38" s="992"/>
      <c r="O38" s="992"/>
      <c r="P38" s="992"/>
      <c r="Q38" s="992"/>
      <c r="R38" s="992"/>
      <c r="S38" s="992"/>
      <c r="T38" s="992"/>
      <c r="U38" s="992"/>
      <c r="V38" s="992"/>
      <c r="W38" s="992"/>
      <c r="X38" s="992"/>
      <c r="Y38" s="992"/>
      <c r="Z38" s="2847"/>
    </row>
    <row r="39" spans="1:28" ht="13.5" customHeight="1">
      <c r="A39" s="1862" t="s">
        <v>536</v>
      </c>
      <c r="B39" s="2862">
        <v>0</v>
      </c>
      <c r="C39" s="2864"/>
      <c r="D39" s="2845">
        <v>0</v>
      </c>
      <c r="E39" s="2856"/>
      <c r="F39" s="2862">
        <v>0</v>
      </c>
      <c r="G39" s="2856"/>
      <c r="H39" s="2862">
        <v>0</v>
      </c>
      <c r="I39" s="2856"/>
      <c r="J39" s="2862">
        <v>0</v>
      </c>
      <c r="K39" s="2856"/>
      <c r="L39" s="2862">
        <v>0</v>
      </c>
      <c r="M39" s="2858"/>
      <c r="N39" s="2862">
        <v>0</v>
      </c>
      <c r="O39" s="2856"/>
      <c r="P39" s="2862"/>
      <c r="Q39" s="2856"/>
      <c r="R39" s="2862"/>
      <c r="S39" s="2856"/>
      <c r="T39" s="2848"/>
      <c r="U39" s="2856"/>
      <c r="V39" s="2848"/>
      <c r="W39" s="2856"/>
      <c r="X39" s="2863"/>
      <c r="Y39" s="2856"/>
      <c r="Z39" s="2847">
        <f t="shared" si="1"/>
        <v>0</v>
      </c>
    </row>
    <row r="40" spans="1:28" ht="13.5" customHeight="1">
      <c r="A40" s="1862" t="s">
        <v>537</v>
      </c>
      <c r="B40" s="2862">
        <v>0</v>
      </c>
      <c r="C40" s="2864"/>
      <c r="D40" s="2845">
        <v>0</v>
      </c>
      <c r="E40" s="2856"/>
      <c r="F40" s="2862">
        <v>10000000</v>
      </c>
      <c r="G40" s="2856"/>
      <c r="H40" s="2856">
        <v>0</v>
      </c>
      <c r="I40" s="2856"/>
      <c r="J40" s="2862">
        <v>0</v>
      </c>
      <c r="K40" s="2856"/>
      <c r="L40" s="2862">
        <v>0</v>
      </c>
      <c r="M40" s="2858"/>
      <c r="N40" s="2861">
        <v>0</v>
      </c>
      <c r="O40" s="2856"/>
      <c r="P40" s="2862"/>
      <c r="Q40" s="2856"/>
      <c r="R40" s="2862"/>
      <c r="S40" s="2856"/>
      <c r="T40" s="2848"/>
      <c r="U40" s="2856"/>
      <c r="V40" s="2848"/>
      <c r="W40" s="2856"/>
      <c r="X40" s="2863"/>
      <c r="Y40" s="2856"/>
      <c r="Z40" s="2847">
        <f t="shared" si="1"/>
        <v>10000000</v>
      </c>
    </row>
    <row r="41" spans="1:28" ht="15" customHeight="1">
      <c r="A41" s="1862" t="s">
        <v>538</v>
      </c>
      <c r="B41" s="2863">
        <v>703116</v>
      </c>
      <c r="C41" s="2864"/>
      <c r="D41" s="2845">
        <v>645817</v>
      </c>
      <c r="E41" s="2856"/>
      <c r="F41" s="2863">
        <v>708749</v>
      </c>
      <c r="G41" s="2856"/>
      <c r="H41" s="2863">
        <v>931094.27</v>
      </c>
      <c r="I41" s="2856"/>
      <c r="J41" s="2863">
        <v>705872</v>
      </c>
      <c r="K41" s="2856"/>
      <c r="L41" s="2863">
        <v>697495</v>
      </c>
      <c r="M41" s="2858"/>
      <c r="N41" s="2861">
        <v>861171</v>
      </c>
      <c r="O41" s="2856"/>
      <c r="P41" s="2861"/>
      <c r="Q41" s="2856"/>
      <c r="R41" s="2861"/>
      <c r="S41" s="2856"/>
      <c r="T41" s="2861"/>
      <c r="U41" s="2856"/>
      <c r="V41" s="2863"/>
      <c r="W41" s="2856"/>
      <c r="X41" s="2863"/>
      <c r="Y41" s="2856"/>
      <c r="Z41" s="2847">
        <f t="shared" si="1"/>
        <v>5253314</v>
      </c>
    </row>
    <row r="42" spans="1:28" ht="22.5" customHeight="1">
      <c r="A42" s="984" t="s">
        <v>539</v>
      </c>
      <c r="B42" s="993">
        <f>ROUND(SUM(B35:B41),0)</f>
        <v>703116</v>
      </c>
      <c r="C42" s="2849"/>
      <c r="D42" s="993">
        <f>ROUND(SUM(D35:D41),0)</f>
        <v>645817</v>
      </c>
      <c r="E42" s="2845"/>
      <c r="F42" s="993">
        <f>ROUND(SUM(F35:F41),0)</f>
        <v>10708749</v>
      </c>
      <c r="G42" s="2845"/>
      <c r="H42" s="993">
        <f>ROUND(SUM(H35:H41),0)</f>
        <v>931094</v>
      </c>
      <c r="I42" s="2845"/>
      <c r="J42" s="993">
        <f>ROUND(SUM(J35:J41),0)</f>
        <v>2012072</v>
      </c>
      <c r="K42" s="2845"/>
      <c r="L42" s="993">
        <f>ROUND(SUM(L35:L41),0)</f>
        <v>10018428</v>
      </c>
      <c r="M42" s="2842"/>
      <c r="N42" s="993">
        <f>ROUND(SUM(N35:N41),0)</f>
        <v>861171</v>
      </c>
      <c r="O42" s="2845"/>
      <c r="P42" s="993">
        <f>ROUND(SUM(P35:P41),0)</f>
        <v>0</v>
      </c>
      <c r="Q42" s="2845"/>
      <c r="R42" s="993">
        <f>ROUND(SUM(R35:R41),0)</f>
        <v>0</v>
      </c>
      <c r="S42" s="2845"/>
      <c r="T42" s="993">
        <f>ROUND(SUM(T35:T41),0)</f>
        <v>0</v>
      </c>
      <c r="U42" s="2845"/>
      <c r="V42" s="993">
        <f>ROUND(SUM(V35:V41),0)</f>
        <v>0</v>
      </c>
      <c r="W42" s="2845"/>
      <c r="X42" s="993">
        <f>ROUND(SUM(X35:X41),0)</f>
        <v>0</v>
      </c>
      <c r="Y42" s="2845"/>
      <c r="Z42" s="993">
        <f>ROUND(SUM(Z35:Z41),0)</f>
        <v>25880447</v>
      </c>
    </row>
    <row r="43" spans="1:28" ht="15" customHeight="1">
      <c r="B43" s="2865"/>
      <c r="C43" s="2849"/>
      <c r="D43" s="2865"/>
      <c r="E43" s="2845"/>
      <c r="F43" s="2866"/>
      <c r="G43" s="2845"/>
      <c r="H43" s="2865"/>
      <c r="I43" s="2845"/>
      <c r="J43" s="2865"/>
      <c r="K43" s="2845"/>
      <c r="L43" s="2865"/>
      <c r="M43" s="2842"/>
      <c r="N43" s="2865"/>
      <c r="O43" s="2845"/>
      <c r="P43" s="2867"/>
      <c r="Q43" s="2845"/>
      <c r="R43" s="2865"/>
      <c r="S43" s="2845"/>
      <c r="T43" s="2865"/>
      <c r="U43" s="2845"/>
      <c r="V43" s="2866"/>
      <c r="W43" s="2845"/>
      <c r="X43" s="2868"/>
      <c r="Y43" s="2845"/>
      <c r="Z43" s="2869"/>
    </row>
    <row r="44" spans="1:28" s="983" customFormat="1" ht="20.25" customHeight="1">
      <c r="A44" s="984" t="s">
        <v>540</v>
      </c>
      <c r="B44" s="2870">
        <f>ROUND(B32+B42,0)</f>
        <v>231740320</v>
      </c>
      <c r="C44" s="986"/>
      <c r="D44" s="2870">
        <f>ROUND(D32+D42,0)</f>
        <v>585092603</v>
      </c>
      <c r="E44" s="987"/>
      <c r="F44" s="2870">
        <f>ROUND(F32+F42,0)</f>
        <v>328359470</v>
      </c>
      <c r="G44" s="987"/>
      <c r="H44" s="2870">
        <f>ROUND(H32+H42,0)</f>
        <v>589935862</v>
      </c>
      <c r="I44" s="987"/>
      <c r="J44" s="2870">
        <f>ROUND(J32+J42,0)</f>
        <v>435453272</v>
      </c>
      <c r="K44" s="986"/>
      <c r="L44" s="2870">
        <f>ROUND(L32+L42,0)</f>
        <v>442833046</v>
      </c>
      <c r="M44" s="982"/>
      <c r="N44" s="2870">
        <f>ROUND(N32+N42,0)</f>
        <v>509431001</v>
      </c>
      <c r="O44" s="987"/>
      <c r="P44" s="2870">
        <f>ROUND(P32+P42,0)</f>
        <v>0</v>
      </c>
      <c r="Q44" s="987"/>
      <c r="R44" s="2870">
        <f>ROUND(R32+R42,0)</f>
        <v>0</v>
      </c>
      <c r="S44" s="987"/>
      <c r="T44" s="2870">
        <f>ROUND(T32+T42,0)</f>
        <v>0</v>
      </c>
      <c r="U44" s="987"/>
      <c r="V44" s="2870">
        <f>ROUND(V32+V42,0)</f>
        <v>0</v>
      </c>
      <c r="W44" s="987"/>
      <c r="X44" s="2870">
        <f>ROUND(X32+X42,0)</f>
        <v>0</v>
      </c>
      <c r="Y44" s="987"/>
      <c r="Z44" s="2870">
        <f>ROUND(Z32+Z42,0)</f>
        <v>3122845574</v>
      </c>
      <c r="AB44" s="784"/>
    </row>
    <row r="45" spans="1:28" ht="15" customHeight="1">
      <c r="A45" s="2841"/>
      <c r="B45" s="2843"/>
      <c r="C45" s="2843"/>
      <c r="D45" s="2843"/>
      <c r="E45" s="2842"/>
      <c r="F45" s="2843"/>
      <c r="G45" s="2842"/>
      <c r="H45" s="2843"/>
      <c r="I45" s="2842"/>
      <c r="J45" s="2871"/>
      <c r="K45" s="2843"/>
      <c r="L45" s="2871"/>
      <c r="M45" s="2842"/>
      <c r="N45" s="2871"/>
      <c r="O45" s="2842"/>
      <c r="P45" s="2871"/>
      <c r="Q45" s="2842"/>
      <c r="R45" s="2871"/>
      <c r="S45" s="2842"/>
      <c r="T45" s="2871"/>
      <c r="U45" s="2842"/>
      <c r="V45" s="2871"/>
      <c r="W45" s="2842"/>
      <c r="X45" s="2871"/>
      <c r="Y45" s="2842"/>
      <c r="Z45" s="2872"/>
    </row>
    <row r="46" spans="1:28" s="983" customFormat="1" ht="20.25" customHeight="1" thickBot="1">
      <c r="A46" s="991" t="s">
        <v>541</v>
      </c>
      <c r="B46" s="994">
        <f>ROUND(B12+B24-B44,0)</f>
        <v>196475771</v>
      </c>
      <c r="C46" s="980"/>
      <c r="D46" s="994">
        <f>ROUND(D12+D24-D44,0)</f>
        <v>66608124</v>
      </c>
      <c r="E46" s="2840"/>
      <c r="F46" s="994">
        <f>ROUND(F12+F24-F44,0)</f>
        <v>178215656</v>
      </c>
      <c r="G46" s="2840"/>
      <c r="H46" s="994">
        <f>ROUND(H12+H24-H44,0)</f>
        <v>97962678</v>
      </c>
      <c r="I46" s="2840"/>
      <c r="J46" s="994">
        <f>ROUND(J12+J24-J44,0)</f>
        <v>99630322</v>
      </c>
      <c r="K46" s="980"/>
      <c r="L46" s="994">
        <f>ROUND(L12+L24-L44,0)</f>
        <v>114513887</v>
      </c>
      <c r="M46" s="995"/>
      <c r="N46" s="994">
        <f>ROUND(N12+N24-N44,0)</f>
        <v>76578876</v>
      </c>
      <c r="O46" s="996"/>
      <c r="P46" s="994">
        <f>ROUND(P12+P24-P44,0)</f>
        <v>0</v>
      </c>
      <c r="Q46" s="996"/>
      <c r="R46" s="994">
        <f>ROUND(R12+R24-R44,0)</f>
        <v>0</v>
      </c>
      <c r="S46" s="996"/>
      <c r="T46" s="994">
        <f>ROUND(T12+T24-T44,0)</f>
        <v>0</v>
      </c>
      <c r="U46" s="996"/>
      <c r="V46" s="994">
        <f>ROUND(V12+V24-V44,0)</f>
        <v>0</v>
      </c>
      <c r="W46" s="996"/>
      <c r="X46" s="994">
        <f>ROUND(X12+X24-X44,0)</f>
        <v>0</v>
      </c>
      <c r="Y46" s="996"/>
      <c r="Z46" s="994">
        <f>ROUND(Z12+Z24-Z44,0)</f>
        <v>76578876</v>
      </c>
    </row>
    <row r="47" spans="1:28" ht="15" customHeight="1" thickTop="1">
      <c r="A47" s="2841"/>
      <c r="B47" s="2837"/>
      <c r="C47" s="2837"/>
      <c r="D47" s="2837"/>
      <c r="E47" s="2873"/>
      <c r="F47" s="2837"/>
      <c r="G47" s="2873"/>
      <c r="H47" s="2837"/>
      <c r="I47" s="2873"/>
      <c r="J47" s="2837"/>
      <c r="K47" s="2837"/>
      <c r="L47" s="2837"/>
      <c r="M47" s="2873"/>
      <c r="N47" s="2837"/>
      <c r="O47" s="2873"/>
      <c r="P47" s="2837"/>
      <c r="Q47" s="2873"/>
      <c r="R47" s="2837"/>
      <c r="S47" s="2873"/>
      <c r="T47" s="2837"/>
      <c r="U47" s="2873"/>
      <c r="V47" s="2837"/>
      <c r="W47" s="2873"/>
      <c r="X47" s="2837"/>
      <c r="Y47" s="2873"/>
      <c r="Z47" s="2872"/>
    </row>
    <row r="48" spans="1:28" ht="20.100000000000001" customHeight="1">
      <c r="A48" s="997"/>
      <c r="B48" s="2874"/>
      <c r="C48" s="2874"/>
      <c r="D48" s="2874"/>
      <c r="E48" s="2838"/>
      <c r="F48" s="2874"/>
      <c r="G48" s="2838"/>
      <c r="H48" s="2874"/>
      <c r="I48" s="2838"/>
      <c r="J48" s="2874"/>
      <c r="K48" s="2874"/>
      <c r="L48" s="2874"/>
      <c r="M48" s="2838"/>
      <c r="N48" s="2874"/>
      <c r="O48" s="2838"/>
      <c r="P48" s="2874"/>
      <c r="Q48" s="2838"/>
      <c r="R48" s="2874"/>
      <c r="S48" s="2838"/>
      <c r="T48" s="2874"/>
      <c r="U48" s="2838"/>
      <c r="V48" s="2874"/>
      <c r="W48" s="2838"/>
      <c r="X48" s="2874"/>
      <c r="Y48" s="2838"/>
      <c r="Z48" s="2844"/>
    </row>
    <row r="50" spans="1:26" ht="18" customHeight="1">
      <c r="A50" s="998"/>
      <c r="B50" s="2832"/>
      <c r="C50" s="2832"/>
      <c r="D50" s="2832"/>
      <c r="E50" s="961"/>
      <c r="F50" s="2832"/>
      <c r="G50" s="961"/>
      <c r="H50" s="2832"/>
      <c r="I50" s="961"/>
      <c r="J50" s="2832"/>
      <c r="K50" s="2832"/>
      <c r="L50" s="2832"/>
      <c r="M50" s="2838"/>
      <c r="N50" s="2832"/>
      <c r="O50" s="961"/>
      <c r="P50" s="2832"/>
      <c r="Q50" s="961"/>
      <c r="R50" s="2832"/>
      <c r="S50" s="961"/>
      <c r="T50" s="2832"/>
      <c r="U50" s="961"/>
      <c r="V50" s="2832"/>
      <c r="W50" s="961"/>
      <c r="X50" s="2832"/>
      <c r="Y50" s="961"/>
      <c r="Z50" s="2833"/>
    </row>
    <row r="51" spans="1:26" ht="20.100000000000001" customHeight="1">
      <c r="A51" s="2835"/>
      <c r="B51" s="2874"/>
      <c r="C51" s="2874"/>
      <c r="D51" s="2874"/>
      <c r="E51" s="2838"/>
      <c r="F51" s="2874"/>
      <c r="G51" s="2838"/>
      <c r="H51" s="2874"/>
      <c r="I51" s="2838"/>
      <c r="J51" s="2874"/>
      <c r="K51" s="2874"/>
      <c r="L51" s="2874"/>
      <c r="M51" s="2838"/>
      <c r="N51" s="2874"/>
      <c r="O51" s="2838"/>
      <c r="P51" s="2874"/>
      <c r="Q51" s="2838"/>
      <c r="R51" s="2874"/>
      <c r="S51" s="2838"/>
      <c r="T51" s="2874"/>
      <c r="U51" s="2838"/>
      <c r="V51" s="2874"/>
      <c r="W51" s="2838"/>
      <c r="X51" s="2874"/>
      <c r="Y51" s="2838"/>
      <c r="Z51" s="2844"/>
    </row>
    <row r="52" spans="1:26" ht="20.100000000000001" customHeight="1">
      <c r="A52" s="2835"/>
      <c r="B52" s="2874"/>
      <c r="C52" s="2874"/>
      <c r="D52" s="2874"/>
      <c r="E52" s="2838"/>
      <c r="F52" s="2874"/>
      <c r="G52" s="2838"/>
      <c r="H52" s="2874"/>
      <c r="I52" s="2838"/>
      <c r="J52" s="2874"/>
      <c r="K52" s="2874"/>
      <c r="L52" s="2874"/>
      <c r="M52" s="2838"/>
      <c r="N52" s="2874"/>
      <c r="O52" s="2838"/>
      <c r="P52" s="2874"/>
      <c r="Q52" s="2838"/>
      <c r="R52" s="2874"/>
      <c r="S52" s="2838"/>
      <c r="T52" s="2874"/>
      <c r="U52" s="2838"/>
      <c r="V52" s="2874"/>
      <c r="W52" s="2838"/>
      <c r="X52" s="2874"/>
      <c r="Y52" s="2838"/>
      <c r="Z52" s="2844"/>
    </row>
    <row r="53" spans="1:26" ht="20.100000000000001" customHeight="1">
      <c r="A53" s="958"/>
      <c r="B53" s="960"/>
      <c r="C53" s="960"/>
      <c r="D53" s="960"/>
      <c r="E53" s="961"/>
      <c r="F53" s="960"/>
      <c r="G53" s="961"/>
      <c r="H53" s="960"/>
      <c r="I53" s="961"/>
      <c r="J53" s="960"/>
      <c r="K53" s="960"/>
      <c r="L53" s="960"/>
      <c r="M53" s="961"/>
      <c r="N53" s="960"/>
      <c r="O53" s="961"/>
      <c r="P53" s="960"/>
      <c r="Q53" s="961"/>
      <c r="R53" s="960"/>
      <c r="S53" s="961"/>
      <c r="T53" s="960"/>
      <c r="U53" s="961"/>
      <c r="V53" s="960"/>
      <c r="W53" s="961"/>
      <c r="X53" s="960"/>
      <c r="Y53" s="961"/>
      <c r="Z53" s="786"/>
    </row>
    <row r="54" spans="1:26" ht="20.100000000000001" customHeight="1">
      <c r="A54" s="958"/>
      <c r="B54" s="960"/>
      <c r="C54" s="960"/>
      <c r="D54" s="960"/>
      <c r="E54" s="961"/>
      <c r="F54" s="960"/>
      <c r="G54" s="961"/>
      <c r="H54" s="960"/>
      <c r="I54" s="961"/>
      <c r="J54" s="960"/>
      <c r="K54" s="960"/>
      <c r="L54" s="960"/>
      <c r="M54" s="961"/>
      <c r="N54" s="960"/>
      <c r="O54" s="961"/>
      <c r="P54" s="960"/>
      <c r="Q54" s="961"/>
      <c r="R54" s="960"/>
      <c r="S54" s="961"/>
      <c r="T54" s="960"/>
      <c r="U54" s="961"/>
      <c r="V54" s="960"/>
      <c r="W54" s="961"/>
      <c r="X54" s="960"/>
      <c r="Y54" s="961"/>
      <c r="Z54" s="786"/>
    </row>
    <row r="55" spans="1:26" ht="20.100000000000001" customHeight="1">
      <c r="A55" s="958"/>
      <c r="B55" s="960"/>
      <c r="C55" s="960"/>
      <c r="D55" s="960"/>
      <c r="E55" s="961"/>
      <c r="F55" s="960"/>
      <c r="G55" s="961"/>
      <c r="H55" s="960"/>
      <c r="I55" s="961"/>
      <c r="J55" s="960"/>
      <c r="K55" s="960"/>
      <c r="L55" s="960"/>
      <c r="M55" s="961"/>
      <c r="N55" s="960"/>
      <c r="O55" s="961"/>
      <c r="P55" s="960"/>
      <c r="Q55" s="961"/>
      <c r="R55" s="960"/>
      <c r="S55" s="961"/>
      <c r="T55" s="960"/>
      <c r="U55" s="961"/>
      <c r="V55" s="960"/>
      <c r="W55" s="961"/>
      <c r="X55" s="960"/>
      <c r="Y55" s="961"/>
      <c r="Z55" s="786"/>
    </row>
    <row r="56" spans="1:26" ht="20.100000000000001" customHeight="1">
      <c r="A56" s="958"/>
      <c r="B56" s="960"/>
      <c r="C56" s="960"/>
      <c r="D56" s="960"/>
      <c r="E56" s="961"/>
      <c r="F56" s="960"/>
      <c r="G56" s="961"/>
      <c r="H56" s="960"/>
      <c r="I56" s="961"/>
      <c r="J56" s="960"/>
      <c r="K56" s="960"/>
      <c r="L56" s="960"/>
      <c r="M56" s="961"/>
      <c r="N56" s="960"/>
      <c r="O56" s="961"/>
      <c r="P56" s="960"/>
      <c r="Q56" s="961"/>
      <c r="R56" s="960"/>
      <c r="S56" s="961"/>
      <c r="T56" s="960"/>
      <c r="U56" s="961"/>
      <c r="V56" s="960"/>
      <c r="W56" s="961"/>
      <c r="X56" s="960"/>
      <c r="Y56" s="961"/>
      <c r="Z56" s="786"/>
    </row>
    <row r="57" spans="1:26" ht="20.100000000000001" customHeight="1">
      <c r="A57" s="958"/>
      <c r="B57" s="960"/>
      <c r="C57" s="960"/>
      <c r="D57" s="960"/>
      <c r="E57" s="961"/>
      <c r="F57" s="960"/>
      <c r="G57" s="961"/>
      <c r="H57" s="960"/>
      <c r="I57" s="961"/>
      <c r="J57" s="960"/>
      <c r="K57" s="960"/>
      <c r="L57" s="960"/>
      <c r="M57" s="961"/>
      <c r="N57" s="960"/>
      <c r="O57" s="961"/>
      <c r="P57" s="960"/>
      <c r="Q57" s="961"/>
      <c r="R57" s="960"/>
      <c r="S57" s="961"/>
      <c r="T57" s="960"/>
      <c r="U57" s="961"/>
      <c r="V57" s="960"/>
      <c r="W57" s="961"/>
      <c r="X57" s="960"/>
      <c r="Y57" s="961"/>
      <c r="Z57" s="786"/>
    </row>
    <row r="58" spans="1:26">
      <c r="A58" s="958"/>
      <c r="B58" s="960"/>
      <c r="C58" s="960"/>
      <c r="D58" s="960"/>
      <c r="E58" s="961"/>
      <c r="F58" s="960"/>
      <c r="G58" s="961"/>
      <c r="H58" s="960"/>
      <c r="I58" s="961"/>
      <c r="J58" s="960"/>
      <c r="K58" s="960"/>
      <c r="L58" s="960"/>
      <c r="M58" s="961"/>
      <c r="N58" s="960"/>
      <c r="O58" s="961"/>
      <c r="P58" s="960"/>
      <c r="Q58" s="961"/>
      <c r="R58" s="960"/>
      <c r="S58" s="961"/>
      <c r="T58" s="960"/>
      <c r="U58" s="961"/>
      <c r="V58" s="960"/>
      <c r="W58" s="961"/>
      <c r="X58" s="960"/>
      <c r="Y58" s="961"/>
      <c r="Z58" s="786"/>
    </row>
    <row r="59" spans="1:26">
      <c r="A59" s="958"/>
      <c r="B59" s="960"/>
      <c r="C59" s="960"/>
      <c r="D59" s="960"/>
      <c r="E59" s="961"/>
      <c r="F59" s="960"/>
      <c r="G59" s="961"/>
      <c r="H59" s="960"/>
      <c r="I59" s="961"/>
      <c r="J59" s="960"/>
      <c r="K59" s="960"/>
      <c r="L59" s="960"/>
      <c r="M59" s="961"/>
      <c r="N59" s="960"/>
      <c r="O59" s="961"/>
      <c r="P59" s="960"/>
      <c r="Q59" s="961"/>
      <c r="R59" s="960"/>
      <c r="S59" s="961"/>
      <c r="T59" s="960"/>
      <c r="U59" s="961"/>
      <c r="V59" s="960"/>
      <c r="W59" s="961"/>
      <c r="X59" s="960"/>
      <c r="Y59" s="961"/>
      <c r="Z59" s="786"/>
    </row>
    <row r="60" spans="1:26">
      <c r="A60" s="958"/>
      <c r="B60" s="960"/>
      <c r="C60" s="960"/>
      <c r="D60" s="960"/>
      <c r="E60" s="961"/>
      <c r="F60" s="960"/>
      <c r="G60" s="961"/>
      <c r="H60" s="960"/>
      <c r="I60" s="961"/>
      <c r="J60" s="960"/>
      <c r="K60" s="960"/>
      <c r="L60" s="960"/>
      <c r="M60" s="961"/>
      <c r="N60" s="960"/>
      <c r="O60" s="961"/>
      <c r="P60" s="960"/>
      <c r="Q60" s="961"/>
      <c r="R60" s="960"/>
      <c r="S60" s="961"/>
      <c r="T60" s="960"/>
      <c r="U60" s="961"/>
      <c r="V60" s="960"/>
      <c r="W60" s="961"/>
      <c r="X60" s="960"/>
      <c r="Y60" s="961"/>
      <c r="Z60" s="786"/>
    </row>
    <row r="61" spans="1:26">
      <c r="A61" s="958"/>
      <c r="B61" s="960"/>
      <c r="C61" s="960"/>
      <c r="D61" s="960"/>
      <c r="E61" s="961"/>
      <c r="F61" s="960"/>
      <c r="G61" s="961"/>
      <c r="H61" s="960"/>
      <c r="I61" s="961"/>
      <c r="J61" s="960"/>
      <c r="K61" s="960"/>
      <c r="L61" s="960"/>
      <c r="M61" s="961"/>
      <c r="N61" s="960"/>
      <c r="O61" s="961"/>
      <c r="P61" s="960"/>
      <c r="Q61" s="961"/>
      <c r="R61" s="960"/>
      <c r="S61" s="961"/>
      <c r="T61" s="960"/>
      <c r="U61" s="961"/>
      <c r="V61" s="960"/>
      <c r="W61" s="961"/>
      <c r="X61" s="960"/>
      <c r="Y61" s="961"/>
      <c r="Z61" s="786"/>
    </row>
    <row r="62" spans="1:26">
      <c r="A62" s="958"/>
      <c r="B62" s="960"/>
      <c r="C62" s="960"/>
      <c r="D62" s="960"/>
      <c r="E62" s="961"/>
      <c r="F62" s="960"/>
      <c r="G62" s="961"/>
      <c r="H62" s="960"/>
      <c r="I62" s="961"/>
      <c r="J62" s="960"/>
      <c r="K62" s="960"/>
      <c r="L62" s="960"/>
      <c r="M62" s="961"/>
      <c r="N62" s="960"/>
      <c r="O62" s="961"/>
      <c r="P62" s="960"/>
      <c r="Q62" s="961"/>
      <c r="R62" s="960"/>
      <c r="S62" s="961"/>
      <c r="T62" s="960"/>
      <c r="U62" s="961"/>
      <c r="V62" s="960"/>
      <c r="W62" s="961"/>
      <c r="X62" s="960"/>
      <c r="Y62" s="961"/>
      <c r="Z62" s="786"/>
    </row>
    <row r="63" spans="1:26">
      <c r="A63" s="958"/>
      <c r="B63" s="960"/>
      <c r="C63" s="960"/>
      <c r="D63" s="960"/>
      <c r="E63" s="961"/>
      <c r="F63" s="960"/>
      <c r="G63" s="961"/>
      <c r="H63" s="960"/>
      <c r="I63" s="961"/>
      <c r="J63" s="960"/>
      <c r="K63" s="960"/>
      <c r="L63" s="960"/>
      <c r="M63" s="961"/>
      <c r="N63" s="960"/>
      <c r="O63" s="961"/>
      <c r="P63" s="960"/>
      <c r="Q63" s="961"/>
      <c r="R63" s="960"/>
      <c r="S63" s="961"/>
      <c r="T63" s="960"/>
      <c r="U63" s="961"/>
      <c r="V63" s="960"/>
      <c r="W63" s="961"/>
      <c r="X63" s="960"/>
      <c r="Y63" s="961"/>
      <c r="Z63" s="786"/>
    </row>
    <row r="64" spans="1:26">
      <c r="A64" s="958"/>
      <c r="B64" s="960"/>
      <c r="C64" s="960"/>
      <c r="D64" s="960"/>
      <c r="E64" s="961"/>
      <c r="F64" s="960"/>
      <c r="G64" s="961"/>
      <c r="H64" s="960"/>
      <c r="I64" s="961"/>
      <c r="J64" s="960"/>
      <c r="K64" s="960"/>
      <c r="L64" s="960"/>
      <c r="M64" s="961"/>
      <c r="N64" s="960"/>
      <c r="O64" s="961"/>
      <c r="P64" s="960"/>
      <c r="Q64" s="961"/>
      <c r="R64" s="960"/>
      <c r="S64" s="961"/>
      <c r="T64" s="960"/>
      <c r="U64" s="961"/>
      <c r="V64" s="960"/>
      <c r="W64" s="961"/>
      <c r="X64" s="960"/>
      <c r="Y64" s="961"/>
      <c r="Z64" s="786"/>
    </row>
    <row r="65" spans="1:26">
      <c r="A65" s="958"/>
      <c r="B65" s="960"/>
      <c r="C65" s="960"/>
      <c r="D65" s="960"/>
      <c r="E65" s="961"/>
      <c r="F65" s="960"/>
      <c r="G65" s="961"/>
      <c r="H65" s="960"/>
      <c r="I65" s="961"/>
      <c r="J65" s="960"/>
      <c r="K65" s="960"/>
      <c r="L65" s="960"/>
      <c r="M65" s="961"/>
      <c r="N65" s="960"/>
      <c r="O65" s="961"/>
      <c r="P65" s="960"/>
      <c r="Q65" s="961"/>
      <c r="R65" s="960"/>
      <c r="S65" s="961"/>
      <c r="T65" s="960"/>
      <c r="U65" s="961"/>
      <c r="V65" s="960"/>
      <c r="W65" s="961"/>
      <c r="X65" s="960"/>
      <c r="Y65" s="961"/>
      <c r="Z65" s="786"/>
    </row>
    <row r="66" spans="1:26">
      <c r="A66" s="958"/>
      <c r="B66" s="960"/>
      <c r="C66" s="960"/>
      <c r="D66" s="960"/>
      <c r="E66" s="961"/>
      <c r="F66" s="960"/>
      <c r="G66" s="961"/>
      <c r="H66" s="960"/>
      <c r="I66" s="961"/>
      <c r="J66" s="960"/>
      <c r="K66" s="960"/>
      <c r="L66" s="960"/>
      <c r="M66" s="961"/>
      <c r="N66" s="960"/>
      <c r="O66" s="961"/>
      <c r="P66" s="960"/>
      <c r="Q66" s="961"/>
      <c r="R66" s="960"/>
      <c r="S66" s="961"/>
      <c r="T66" s="960"/>
      <c r="U66" s="961"/>
      <c r="V66" s="960"/>
      <c r="W66" s="961"/>
      <c r="X66" s="960"/>
      <c r="Y66" s="961"/>
      <c r="Z66" s="786"/>
    </row>
    <row r="67" spans="1:26">
      <c r="A67" s="958"/>
      <c r="B67" s="960"/>
      <c r="C67" s="960"/>
      <c r="D67" s="960"/>
      <c r="E67" s="961"/>
      <c r="F67" s="960"/>
      <c r="G67" s="961"/>
      <c r="H67" s="960"/>
      <c r="I67" s="961"/>
      <c r="J67" s="960"/>
      <c r="K67" s="960"/>
      <c r="L67" s="960"/>
      <c r="M67" s="961"/>
      <c r="N67" s="960"/>
      <c r="O67" s="961"/>
      <c r="P67" s="960"/>
      <c r="Q67" s="961"/>
      <c r="R67" s="960"/>
      <c r="S67" s="961"/>
      <c r="T67" s="960"/>
      <c r="U67" s="961"/>
      <c r="V67" s="960"/>
      <c r="W67" s="961"/>
      <c r="X67" s="960"/>
      <c r="Y67" s="961"/>
      <c r="Z67" s="786"/>
    </row>
    <row r="68" spans="1:26">
      <c r="A68" s="958"/>
      <c r="B68" s="960"/>
      <c r="C68" s="960"/>
      <c r="D68" s="960"/>
      <c r="E68" s="961"/>
      <c r="F68" s="960"/>
      <c r="G68" s="961"/>
      <c r="H68" s="960"/>
      <c r="I68" s="961"/>
      <c r="J68" s="960"/>
      <c r="K68" s="960"/>
      <c r="L68" s="960"/>
      <c r="M68" s="961"/>
      <c r="N68" s="960"/>
      <c r="O68" s="961"/>
      <c r="P68" s="960"/>
      <c r="Q68" s="961"/>
      <c r="R68" s="960"/>
      <c r="S68" s="961"/>
      <c r="T68" s="960"/>
      <c r="U68" s="961"/>
      <c r="V68" s="960"/>
      <c r="W68" s="961"/>
      <c r="X68" s="960"/>
      <c r="Y68" s="961"/>
      <c r="Z68" s="786"/>
    </row>
    <row r="69" spans="1:26">
      <c r="A69" s="958"/>
      <c r="B69" s="960"/>
      <c r="C69" s="960"/>
      <c r="D69" s="960"/>
      <c r="E69" s="961"/>
      <c r="F69" s="960"/>
      <c r="G69" s="961"/>
      <c r="H69" s="960"/>
      <c r="I69" s="961"/>
      <c r="J69" s="960"/>
      <c r="K69" s="960"/>
      <c r="L69" s="960"/>
      <c r="M69" s="961"/>
      <c r="N69" s="960"/>
      <c r="O69" s="961"/>
      <c r="P69" s="960"/>
      <c r="Q69" s="961"/>
      <c r="R69" s="960"/>
      <c r="S69" s="961"/>
      <c r="T69" s="960"/>
      <c r="U69" s="961"/>
      <c r="V69" s="960"/>
      <c r="W69" s="961"/>
      <c r="X69" s="960"/>
      <c r="Y69" s="961"/>
      <c r="Z69" s="786"/>
    </row>
    <row r="70" spans="1:26">
      <c r="A70" s="958"/>
      <c r="B70" s="960"/>
      <c r="C70" s="960"/>
      <c r="D70" s="960"/>
      <c r="E70" s="961"/>
      <c r="F70" s="960"/>
      <c r="G70" s="961"/>
      <c r="H70" s="960"/>
      <c r="I70" s="961"/>
      <c r="J70" s="960"/>
      <c r="K70" s="960"/>
      <c r="L70" s="960"/>
      <c r="M70" s="961"/>
      <c r="N70" s="960"/>
      <c r="O70" s="961"/>
      <c r="P70" s="960"/>
      <c r="Q70" s="961"/>
      <c r="R70" s="960"/>
      <c r="S70" s="961"/>
      <c r="T70" s="960"/>
      <c r="U70" s="961"/>
      <c r="V70" s="960"/>
      <c r="W70" s="961"/>
      <c r="X70" s="960"/>
      <c r="Y70" s="961"/>
      <c r="Z70" s="786"/>
    </row>
    <row r="71" spans="1:26">
      <c r="A71" s="958"/>
      <c r="B71" s="960"/>
      <c r="C71" s="960"/>
      <c r="D71" s="960"/>
      <c r="E71" s="961"/>
      <c r="F71" s="960"/>
      <c r="G71" s="961"/>
      <c r="H71" s="960"/>
      <c r="I71" s="961"/>
      <c r="J71" s="960"/>
      <c r="K71" s="960"/>
      <c r="L71" s="960"/>
      <c r="M71" s="961"/>
      <c r="N71" s="960"/>
      <c r="O71" s="961"/>
      <c r="P71" s="960"/>
      <c r="Q71" s="961"/>
      <c r="R71" s="960"/>
      <c r="S71" s="961"/>
      <c r="T71" s="960"/>
      <c r="U71" s="961"/>
      <c r="V71" s="960"/>
      <c r="W71" s="961"/>
      <c r="X71" s="960"/>
      <c r="Y71" s="961"/>
      <c r="Z71" s="786"/>
    </row>
    <row r="72" spans="1:26">
      <c r="A72" s="958"/>
      <c r="B72" s="960"/>
      <c r="C72" s="960"/>
      <c r="D72" s="960"/>
      <c r="E72" s="961"/>
      <c r="F72" s="960"/>
      <c r="G72" s="961"/>
      <c r="H72" s="960"/>
      <c r="I72" s="961"/>
      <c r="J72" s="960"/>
      <c r="K72" s="960"/>
      <c r="L72" s="960"/>
      <c r="M72" s="961"/>
      <c r="N72" s="960"/>
      <c r="O72" s="961"/>
      <c r="P72" s="960"/>
      <c r="Q72" s="961"/>
      <c r="R72" s="960"/>
      <c r="S72" s="961"/>
      <c r="T72" s="960"/>
      <c r="U72" s="961"/>
      <c r="V72" s="960"/>
      <c r="W72" s="961"/>
      <c r="X72" s="960"/>
      <c r="Y72" s="961"/>
      <c r="Z72" s="786"/>
    </row>
    <row r="73" spans="1:26">
      <c r="A73" s="958"/>
      <c r="B73" s="960"/>
      <c r="C73" s="960"/>
      <c r="D73" s="960"/>
      <c r="E73" s="961"/>
      <c r="F73" s="960"/>
      <c r="G73" s="961"/>
      <c r="H73" s="960"/>
      <c r="I73" s="961"/>
      <c r="J73" s="960"/>
      <c r="K73" s="960"/>
      <c r="L73" s="960"/>
      <c r="M73" s="961"/>
      <c r="N73" s="960"/>
      <c r="O73" s="961"/>
      <c r="P73" s="960"/>
      <c r="Q73" s="961"/>
      <c r="R73" s="960"/>
      <c r="S73" s="961"/>
      <c r="T73" s="960"/>
      <c r="U73" s="961"/>
      <c r="V73" s="960"/>
      <c r="W73" s="961"/>
      <c r="X73" s="960"/>
      <c r="Y73" s="961"/>
      <c r="Z73" s="786"/>
    </row>
    <row r="74" spans="1:26">
      <c r="A74" s="958"/>
      <c r="B74" s="960"/>
      <c r="C74" s="960"/>
      <c r="D74" s="960"/>
      <c r="E74" s="961"/>
      <c r="F74" s="960"/>
      <c r="G74" s="961"/>
      <c r="H74" s="960"/>
      <c r="I74" s="961"/>
      <c r="J74" s="960"/>
      <c r="K74" s="960"/>
      <c r="L74" s="960"/>
      <c r="M74" s="961"/>
      <c r="N74" s="960"/>
      <c r="O74" s="961"/>
      <c r="P74" s="960"/>
      <c r="Q74" s="961"/>
      <c r="R74" s="960"/>
      <c r="S74" s="961"/>
      <c r="T74" s="960"/>
      <c r="U74" s="961"/>
      <c r="V74" s="960"/>
      <c r="W74" s="961"/>
      <c r="X74" s="960"/>
      <c r="Y74" s="961"/>
      <c r="Z74" s="786"/>
    </row>
    <row r="75" spans="1:26">
      <c r="A75" s="958"/>
      <c r="B75" s="960"/>
      <c r="C75" s="960"/>
      <c r="D75" s="960"/>
      <c r="E75" s="961"/>
      <c r="F75" s="960"/>
      <c r="G75" s="961"/>
      <c r="H75" s="960"/>
      <c r="I75" s="961"/>
      <c r="J75" s="960"/>
      <c r="K75" s="960"/>
      <c r="L75" s="960"/>
      <c r="M75" s="961"/>
      <c r="N75" s="960"/>
      <c r="O75" s="961"/>
      <c r="P75" s="960"/>
      <c r="Q75" s="961"/>
      <c r="R75" s="960"/>
      <c r="S75" s="961"/>
      <c r="T75" s="960"/>
      <c r="U75" s="961"/>
      <c r="V75" s="960"/>
      <c r="W75" s="961"/>
      <c r="X75" s="960"/>
      <c r="Y75" s="961"/>
      <c r="Z75" s="786"/>
    </row>
    <row r="76" spans="1:26">
      <c r="A76" s="958"/>
      <c r="B76" s="960"/>
      <c r="C76" s="960"/>
      <c r="D76" s="960"/>
      <c r="E76" s="961"/>
      <c r="F76" s="960"/>
      <c r="G76" s="961"/>
      <c r="H76" s="960"/>
      <c r="I76" s="961"/>
      <c r="J76" s="960"/>
      <c r="K76" s="960"/>
      <c r="L76" s="960"/>
      <c r="M76" s="961"/>
      <c r="N76" s="960"/>
      <c r="O76" s="961"/>
      <c r="P76" s="960"/>
      <c r="Q76" s="961"/>
      <c r="R76" s="960"/>
      <c r="S76" s="961"/>
      <c r="T76" s="960"/>
      <c r="U76" s="961"/>
      <c r="V76" s="960"/>
      <c r="W76" s="961"/>
      <c r="X76" s="960"/>
      <c r="Y76" s="961"/>
      <c r="Z76" s="786"/>
    </row>
    <row r="77" spans="1:26">
      <c r="A77" s="958"/>
      <c r="B77" s="960"/>
      <c r="C77" s="960"/>
      <c r="D77" s="960"/>
      <c r="E77" s="961"/>
      <c r="F77" s="960"/>
      <c r="G77" s="961"/>
      <c r="H77" s="960"/>
      <c r="I77" s="961"/>
      <c r="J77" s="960"/>
      <c r="K77" s="960"/>
      <c r="L77" s="960"/>
      <c r="M77" s="961"/>
      <c r="N77" s="960"/>
      <c r="O77" s="961"/>
      <c r="P77" s="960"/>
      <c r="Q77" s="961"/>
      <c r="R77" s="960"/>
      <c r="S77" s="961"/>
      <c r="T77" s="960"/>
      <c r="U77" s="961"/>
      <c r="V77" s="960"/>
      <c r="W77" s="961"/>
      <c r="X77" s="960"/>
      <c r="Y77" s="961"/>
      <c r="Z77" s="786"/>
    </row>
    <row r="78" spans="1:26">
      <c r="A78" s="958"/>
      <c r="B78" s="960"/>
      <c r="C78" s="960"/>
      <c r="D78" s="960"/>
      <c r="E78" s="961"/>
      <c r="F78" s="960"/>
      <c r="G78" s="961"/>
      <c r="H78" s="960"/>
      <c r="I78" s="961"/>
      <c r="J78" s="960"/>
      <c r="K78" s="960"/>
      <c r="L78" s="960"/>
      <c r="M78" s="961"/>
      <c r="N78" s="960"/>
      <c r="O78" s="961"/>
      <c r="P78" s="960"/>
      <c r="Q78" s="961"/>
      <c r="R78" s="960"/>
      <c r="S78" s="961"/>
      <c r="T78" s="960"/>
      <c r="U78" s="961"/>
      <c r="V78" s="960"/>
      <c r="W78" s="961"/>
      <c r="X78" s="960"/>
      <c r="Y78" s="961"/>
      <c r="Z78" s="786"/>
    </row>
    <row r="79" spans="1:26">
      <c r="A79" s="958"/>
      <c r="B79" s="960"/>
      <c r="C79" s="960"/>
      <c r="D79" s="960"/>
      <c r="E79" s="961"/>
      <c r="F79" s="960"/>
      <c r="G79" s="961"/>
      <c r="H79" s="960"/>
      <c r="I79" s="961"/>
      <c r="J79" s="960"/>
      <c r="K79" s="960"/>
      <c r="L79" s="960"/>
      <c r="M79" s="961"/>
      <c r="N79" s="960"/>
      <c r="O79" s="961"/>
      <c r="P79" s="960"/>
      <c r="Q79" s="961"/>
      <c r="R79" s="960"/>
      <c r="S79" s="961"/>
      <c r="T79" s="960"/>
      <c r="U79" s="961"/>
      <c r="V79" s="960"/>
      <c r="W79" s="961"/>
      <c r="X79" s="960"/>
      <c r="Y79" s="961"/>
      <c r="Z79" s="786"/>
    </row>
    <row r="80" spans="1:26">
      <c r="A80" s="958"/>
      <c r="B80" s="960"/>
      <c r="C80" s="960"/>
      <c r="D80" s="960"/>
      <c r="E80" s="961"/>
      <c r="F80" s="960"/>
      <c r="G80" s="961"/>
      <c r="H80" s="960"/>
      <c r="I80" s="961"/>
      <c r="J80" s="960"/>
      <c r="K80" s="960"/>
      <c r="L80" s="960"/>
      <c r="M80" s="961"/>
      <c r="N80" s="960"/>
      <c r="O80" s="961"/>
      <c r="P80" s="960"/>
      <c r="Q80" s="961"/>
      <c r="R80" s="960"/>
      <c r="S80" s="961"/>
      <c r="T80" s="960"/>
      <c r="U80" s="961"/>
      <c r="V80" s="960"/>
      <c r="W80" s="961"/>
      <c r="X80" s="960"/>
      <c r="Y80" s="961"/>
      <c r="Z80" s="786"/>
    </row>
    <row r="81" spans="1:26">
      <c r="A81" s="958"/>
      <c r="B81" s="960"/>
      <c r="C81" s="960"/>
      <c r="D81" s="960"/>
      <c r="E81" s="961"/>
      <c r="F81" s="960"/>
      <c r="G81" s="961"/>
      <c r="H81" s="960"/>
      <c r="I81" s="961"/>
      <c r="J81" s="960"/>
      <c r="K81" s="960"/>
      <c r="L81" s="960"/>
      <c r="M81" s="961"/>
      <c r="N81" s="960"/>
      <c r="O81" s="961"/>
      <c r="P81" s="960"/>
      <c r="Q81" s="961"/>
      <c r="R81" s="960"/>
      <c r="S81" s="961"/>
      <c r="T81" s="960"/>
      <c r="U81" s="961"/>
      <c r="V81" s="960"/>
      <c r="W81" s="961"/>
      <c r="X81" s="960"/>
      <c r="Y81" s="961"/>
      <c r="Z81" s="786"/>
    </row>
    <row r="82" spans="1:26">
      <c r="A82" s="958"/>
      <c r="B82" s="960"/>
      <c r="C82" s="960"/>
      <c r="D82" s="960"/>
      <c r="E82" s="961"/>
      <c r="F82" s="960"/>
      <c r="G82" s="961"/>
      <c r="H82" s="960"/>
      <c r="I82" s="961"/>
      <c r="J82" s="960"/>
      <c r="K82" s="960"/>
      <c r="L82" s="960"/>
      <c r="M82" s="961"/>
      <c r="N82" s="960"/>
      <c r="O82" s="961"/>
      <c r="P82" s="960"/>
      <c r="Q82" s="961"/>
      <c r="R82" s="960"/>
      <c r="S82" s="961"/>
      <c r="T82" s="960"/>
      <c r="U82" s="961"/>
      <c r="V82" s="960"/>
      <c r="W82" s="961"/>
      <c r="X82" s="960"/>
      <c r="Y82" s="961"/>
      <c r="Z82" s="786"/>
    </row>
    <row r="83" spans="1:26">
      <c r="A83" s="958"/>
      <c r="B83" s="960"/>
      <c r="C83" s="960"/>
      <c r="D83" s="960"/>
      <c r="E83" s="961"/>
      <c r="F83" s="960"/>
      <c r="G83" s="961"/>
      <c r="H83" s="960"/>
      <c r="I83" s="961"/>
      <c r="J83" s="960"/>
      <c r="K83" s="960"/>
      <c r="L83" s="960"/>
      <c r="M83" s="961"/>
      <c r="N83" s="960"/>
      <c r="O83" s="961"/>
      <c r="P83" s="960"/>
      <c r="Q83" s="961"/>
      <c r="R83" s="960"/>
      <c r="S83" s="961"/>
      <c r="T83" s="960"/>
      <c r="U83" s="961"/>
      <c r="V83" s="960"/>
      <c r="W83" s="961"/>
      <c r="X83" s="960"/>
      <c r="Y83" s="961"/>
      <c r="Z83" s="786"/>
    </row>
    <row r="84" spans="1:26">
      <c r="A84" s="958"/>
      <c r="B84" s="960"/>
      <c r="C84" s="960"/>
      <c r="D84" s="960"/>
      <c r="E84" s="961"/>
      <c r="F84" s="960"/>
      <c r="G84" s="961"/>
      <c r="H84" s="960"/>
      <c r="I84" s="961"/>
      <c r="J84" s="960"/>
      <c r="K84" s="960"/>
      <c r="L84" s="960"/>
      <c r="M84" s="961"/>
      <c r="N84" s="960"/>
      <c r="O84" s="961"/>
      <c r="P84" s="960"/>
      <c r="Q84" s="961"/>
      <c r="R84" s="960"/>
      <c r="S84" s="961"/>
      <c r="T84" s="960"/>
      <c r="U84" s="961"/>
      <c r="V84" s="960"/>
      <c r="W84" s="961"/>
      <c r="X84" s="960"/>
      <c r="Y84" s="961"/>
      <c r="Z84" s="786"/>
    </row>
    <row r="85" spans="1:26">
      <c r="A85" s="958"/>
      <c r="B85" s="960"/>
      <c r="C85" s="960"/>
      <c r="D85" s="960"/>
      <c r="E85" s="961"/>
      <c r="F85" s="960"/>
      <c r="G85" s="961"/>
      <c r="H85" s="960"/>
      <c r="I85" s="961"/>
      <c r="J85" s="960"/>
      <c r="K85" s="960"/>
      <c r="L85" s="960"/>
      <c r="M85" s="961"/>
      <c r="N85" s="960"/>
      <c r="O85" s="961"/>
      <c r="P85" s="960"/>
      <c r="Q85" s="961"/>
      <c r="R85" s="960"/>
      <c r="S85" s="961"/>
      <c r="T85" s="960"/>
      <c r="U85" s="961"/>
      <c r="V85" s="960"/>
      <c r="W85" s="961"/>
      <c r="X85" s="960"/>
      <c r="Y85" s="961"/>
      <c r="Z85" s="786"/>
    </row>
    <row r="86" spans="1:26">
      <c r="A86" s="958"/>
      <c r="B86" s="960"/>
      <c r="C86" s="960"/>
      <c r="D86" s="960"/>
      <c r="E86" s="961"/>
      <c r="F86" s="960"/>
      <c r="G86" s="961"/>
      <c r="H86" s="960"/>
      <c r="I86" s="961"/>
      <c r="J86" s="960"/>
      <c r="K86" s="960"/>
      <c r="L86" s="960"/>
      <c r="M86" s="961"/>
      <c r="N86" s="960"/>
      <c r="O86" s="961"/>
      <c r="P86" s="960"/>
      <c r="Q86" s="961"/>
      <c r="R86" s="960"/>
      <c r="S86" s="961"/>
      <c r="T86" s="960"/>
      <c r="U86" s="961"/>
      <c r="V86" s="960"/>
      <c r="W86" s="961"/>
      <c r="X86" s="960"/>
      <c r="Y86" s="961"/>
      <c r="Z86" s="786"/>
    </row>
    <row r="87" spans="1:26">
      <c r="A87" s="958"/>
      <c r="B87" s="960"/>
      <c r="C87" s="960"/>
      <c r="D87" s="960"/>
      <c r="E87" s="961"/>
      <c r="F87" s="960"/>
      <c r="G87" s="961"/>
      <c r="H87" s="960"/>
      <c r="I87" s="961"/>
      <c r="J87" s="960"/>
      <c r="K87" s="960"/>
      <c r="L87" s="960"/>
      <c r="M87" s="961"/>
      <c r="N87" s="960"/>
      <c r="O87" s="961"/>
      <c r="P87" s="960"/>
      <c r="Q87" s="961"/>
      <c r="R87" s="960"/>
      <c r="S87" s="961"/>
      <c r="T87" s="960"/>
      <c r="U87" s="961"/>
      <c r="V87" s="960"/>
      <c r="W87" s="961"/>
      <c r="X87" s="960"/>
      <c r="Y87" s="961"/>
      <c r="Z87" s="786"/>
    </row>
    <row r="88" spans="1:26">
      <c r="A88" s="958"/>
      <c r="B88" s="960"/>
      <c r="C88" s="960"/>
      <c r="D88" s="960"/>
      <c r="E88" s="961"/>
      <c r="F88" s="960"/>
      <c r="G88" s="961"/>
      <c r="H88" s="960"/>
      <c r="I88" s="961"/>
      <c r="J88" s="960"/>
      <c r="K88" s="960"/>
      <c r="L88" s="960"/>
      <c r="M88" s="961"/>
      <c r="N88" s="960"/>
      <c r="O88" s="961"/>
      <c r="P88" s="960"/>
      <c r="Q88" s="961"/>
      <c r="R88" s="960"/>
      <c r="S88" s="961"/>
      <c r="T88" s="960"/>
      <c r="U88" s="961"/>
      <c r="V88" s="960"/>
      <c r="W88" s="961"/>
      <c r="X88" s="960"/>
      <c r="Y88" s="961"/>
      <c r="Z88" s="786"/>
    </row>
    <row r="89" spans="1:26">
      <c r="A89" s="958"/>
      <c r="B89" s="960"/>
      <c r="C89" s="960"/>
      <c r="D89" s="960"/>
      <c r="E89" s="961"/>
      <c r="F89" s="960"/>
      <c r="G89" s="961"/>
      <c r="H89" s="960"/>
      <c r="I89" s="961"/>
      <c r="J89" s="960"/>
      <c r="K89" s="960"/>
      <c r="L89" s="960"/>
      <c r="M89" s="961"/>
      <c r="N89" s="960"/>
      <c r="O89" s="961"/>
      <c r="P89" s="960"/>
      <c r="Q89" s="961"/>
      <c r="R89" s="960"/>
      <c r="S89" s="961"/>
      <c r="T89" s="960"/>
      <c r="U89" s="961"/>
      <c r="V89" s="960"/>
      <c r="W89" s="961"/>
      <c r="X89" s="960"/>
      <c r="Y89" s="961"/>
      <c r="Z89" s="786"/>
    </row>
    <row r="90" spans="1:26">
      <c r="A90" s="958"/>
      <c r="B90" s="960"/>
      <c r="C90" s="960"/>
      <c r="D90" s="960"/>
      <c r="E90" s="961"/>
      <c r="F90" s="960"/>
      <c r="G90" s="961"/>
      <c r="H90" s="960"/>
      <c r="I90" s="961"/>
      <c r="J90" s="960"/>
      <c r="K90" s="960"/>
      <c r="L90" s="960"/>
      <c r="M90" s="961"/>
      <c r="N90" s="960"/>
      <c r="O90" s="961"/>
      <c r="P90" s="960"/>
      <c r="Q90" s="961"/>
      <c r="R90" s="960"/>
      <c r="S90" s="961"/>
      <c r="T90" s="960"/>
      <c r="U90" s="961"/>
      <c r="V90" s="960"/>
      <c r="W90" s="961"/>
      <c r="X90" s="960"/>
      <c r="Y90" s="961"/>
      <c r="Z90" s="786"/>
    </row>
    <row r="91" spans="1:26">
      <c r="A91" s="958"/>
      <c r="B91" s="960"/>
      <c r="C91" s="960"/>
      <c r="D91" s="960"/>
      <c r="E91" s="961"/>
      <c r="F91" s="960"/>
      <c r="G91" s="961"/>
      <c r="H91" s="960"/>
      <c r="I91" s="961"/>
      <c r="J91" s="960"/>
      <c r="K91" s="960"/>
      <c r="L91" s="960"/>
      <c r="M91" s="961"/>
      <c r="N91" s="960"/>
      <c r="O91" s="961"/>
      <c r="P91" s="960"/>
      <c r="Q91" s="961"/>
      <c r="R91" s="960"/>
      <c r="S91" s="961"/>
      <c r="T91" s="960"/>
      <c r="U91" s="961"/>
      <c r="V91" s="960"/>
      <c r="W91" s="961"/>
      <c r="X91" s="960"/>
      <c r="Y91" s="961"/>
      <c r="Z91" s="786"/>
    </row>
    <row r="92" spans="1:26">
      <c r="A92" s="958"/>
      <c r="B92" s="960"/>
      <c r="C92" s="960"/>
      <c r="D92" s="960"/>
      <c r="E92" s="961"/>
      <c r="F92" s="960"/>
      <c r="G92" s="961"/>
      <c r="H92" s="960"/>
      <c r="I92" s="961"/>
      <c r="J92" s="960"/>
      <c r="K92" s="960"/>
      <c r="L92" s="960"/>
      <c r="M92" s="961"/>
      <c r="N92" s="960"/>
      <c r="O92" s="961"/>
      <c r="P92" s="960"/>
      <c r="Q92" s="961"/>
      <c r="R92" s="960"/>
      <c r="S92" s="961"/>
      <c r="T92" s="960"/>
      <c r="U92" s="961"/>
      <c r="V92" s="960"/>
      <c r="W92" s="961"/>
      <c r="X92" s="960"/>
      <c r="Y92" s="961"/>
      <c r="Z92" s="786"/>
    </row>
    <row r="93" spans="1:26">
      <c r="A93" s="958"/>
      <c r="B93" s="960"/>
      <c r="C93" s="960"/>
      <c r="D93" s="960"/>
      <c r="E93" s="961"/>
      <c r="F93" s="960"/>
      <c r="G93" s="961"/>
      <c r="H93" s="960"/>
      <c r="I93" s="961"/>
      <c r="J93" s="960"/>
      <c r="K93" s="960"/>
      <c r="L93" s="960"/>
      <c r="M93" s="961"/>
      <c r="N93" s="960"/>
      <c r="O93" s="961"/>
      <c r="P93" s="960"/>
      <c r="Q93" s="961"/>
      <c r="R93" s="960"/>
      <c r="S93" s="961"/>
      <c r="T93" s="960"/>
      <c r="U93" s="961"/>
      <c r="V93" s="960"/>
      <c r="W93" s="961"/>
      <c r="X93" s="960"/>
      <c r="Y93" s="961"/>
      <c r="Z93" s="786"/>
    </row>
    <row r="94" spans="1:26">
      <c r="A94" s="958"/>
      <c r="B94" s="960"/>
      <c r="C94" s="960"/>
      <c r="D94" s="960"/>
      <c r="E94" s="961"/>
      <c r="F94" s="960"/>
      <c r="G94" s="961"/>
      <c r="H94" s="960"/>
      <c r="I94" s="961"/>
      <c r="J94" s="960"/>
      <c r="K94" s="960"/>
      <c r="L94" s="960"/>
      <c r="M94" s="961"/>
      <c r="N94" s="960"/>
      <c r="O94" s="961"/>
      <c r="P94" s="960"/>
      <c r="Q94" s="961"/>
      <c r="R94" s="960"/>
      <c r="S94" s="961"/>
      <c r="T94" s="960"/>
      <c r="U94" s="961"/>
      <c r="V94" s="960"/>
      <c r="W94" s="961"/>
      <c r="X94" s="960"/>
      <c r="Y94" s="961"/>
      <c r="Z94" s="786"/>
    </row>
    <row r="95" spans="1:26">
      <c r="A95" s="958"/>
      <c r="B95" s="960"/>
      <c r="C95" s="960"/>
      <c r="D95" s="960"/>
      <c r="E95" s="961"/>
      <c r="F95" s="960"/>
      <c r="G95" s="961"/>
      <c r="H95" s="960"/>
      <c r="I95" s="961"/>
      <c r="J95" s="960"/>
      <c r="K95" s="960"/>
      <c r="L95" s="960"/>
      <c r="M95" s="961"/>
      <c r="N95" s="960"/>
      <c r="O95" s="961"/>
      <c r="P95" s="960"/>
      <c r="Q95" s="961"/>
      <c r="R95" s="960"/>
      <c r="S95" s="961"/>
      <c r="T95" s="960"/>
      <c r="U95" s="961"/>
      <c r="V95" s="960"/>
      <c r="W95" s="961"/>
      <c r="X95" s="960"/>
      <c r="Y95" s="961"/>
      <c r="Z95" s="786"/>
    </row>
  </sheetData>
  <customSheetViews>
    <customSheetView guid="{BD09DBC2-63A5-4D9C-9B00-4281066E9389}" scale="60" showPageBreaks="1" showGridLines="0" outlineSymbols="0" fitToPage="1" printArea="1" topLeftCell="C4">
      <selection activeCell="AB10" sqref="AB10"/>
      <colBreaks count="1" manualBreakCount="1">
        <brk id="30" max="54" man="1"/>
      </colBreaks>
      <pageMargins left="0.1" right="0.1" top="0.75" bottom="0.25" header="0" footer="0.25"/>
      <pageSetup scale="41" firstPageNumber="47" orientation="landscape" useFirstPageNumber="1" r:id="rId1"/>
      <headerFooter scaleWithDoc="0" alignWithMargins="0">
        <oddHeader xml:space="preserve">&amp;L&amp;14 </oddHeader>
        <oddFooter>&amp;C&amp;8&amp;P</oddFooter>
      </headerFooter>
    </customSheetView>
    <customSheetView guid="{C82E0A7D-2B5B-48FC-A705-3168E651E04C}" scale="60" showPageBreaks="1" showGridLines="0" outlineSymbols="0" fitToPage="1" printArea="1">
      <selection activeCell="C4" sqref="C4"/>
      <colBreaks count="1" manualBreakCount="1">
        <brk id="30" max="54" man="1"/>
      </colBreaks>
      <pageMargins left="0.1" right="0.1" top="0.75" bottom="0.25" header="0" footer="0.25"/>
      <pageSetup scale="41" orientation="landscape" r:id="rId2"/>
      <headerFooter scaleWithDoc="0" alignWithMargins="0">
        <oddHeader xml:space="preserve">&amp;L&amp;14 </oddHeader>
        <oddFooter>&amp;C&amp;8 47</oddFooter>
      </headerFooter>
    </customSheetView>
    <customSheetView guid="{A8B05C3B-0E7E-44A3-A097-AF4C5C09F04E}" scale="60" showPageBreaks="1" showGridLines="0" outlineSymbols="0" fitToPage="1" printArea="1">
      <selection activeCell="C4" sqref="C4"/>
      <colBreaks count="1" manualBreakCount="1">
        <brk id="30" max="54" man="1"/>
      </colBreaks>
      <pageMargins left="0.1" right="0.1" top="0.75" bottom="0.25" header="0" footer="0.25"/>
      <pageSetup scale="41" orientation="landscape" r:id="rId3"/>
      <headerFooter scaleWithDoc="0" alignWithMargins="0">
        <oddHeader xml:space="preserve">&amp;L&amp;14 </oddHeader>
        <oddFooter>&amp;C&amp;8 47</oddFooter>
      </headerFooter>
    </customSheetView>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4"/>
      <headerFooter scaleWithDoc="0" alignWithMargins="0">
        <oddHeader xml:space="preserve">&amp;L&amp;14 </oddHeader>
        <oddFooter>&amp;C&amp;8 47</oddFooter>
      </headerFooter>
    </customSheetView>
    <customSheetView guid="{4735AAE3-27B4-4549-AAB4-50ACA997F5F5}" scale="60" showPageBreaks="1" showGridLines="0" outlineSymbols="0" fitToPage="1" printArea="1" topLeftCell="A7">
      <selection activeCell="L18" sqref="L18"/>
      <colBreaks count="1" manualBreakCount="1">
        <brk id="30" max="54" man="1"/>
      </colBreaks>
      <pageMargins left="0.1" right="0.1" top="0.75" bottom="0.25" header="0" footer="0.25"/>
      <pageSetup scale="41" orientation="landscape" r:id="rId5"/>
      <headerFooter scaleWithDoc="0" alignWithMargins="0">
        <oddHeader xml:space="preserve">&amp;L&amp;14 </oddHeader>
        <oddFooter>&amp;C&amp;8 47</oddFooter>
      </headerFooter>
    </customSheetView>
    <customSheetView guid="{80622567-647A-4891-B8EE-6B9E2C4DAC44}" showPageBreaks="1" showGridLines="0" outlineSymbols="0" fitToPage="1" printArea="1">
      <pane xSplit="1" ySplit="10" topLeftCell="M45" activePane="bottomRight" state="frozen"/>
      <selection pane="bottomRight" activeCell="N31" sqref="N31"/>
      <colBreaks count="1" manualBreakCount="1">
        <brk id="30" max="54" man="1"/>
      </colBreaks>
      <pageMargins left="0.1" right="0.1" top="0.75" bottom="0.25" header="0" footer="0.25"/>
      <pageSetup scale="41" orientation="landscape" r:id="rId6"/>
      <headerFooter scaleWithDoc="0" alignWithMargins="0">
        <oddHeader xml:space="preserve">&amp;L&amp;14 </oddHeader>
        <oddFooter>&amp;C&amp;8 47</oddFooter>
      </headerFooter>
    </customSheetView>
    <customSheetView guid="{A97EE6C3-4DA8-41BD-BE43-F596EFCB43CA}" scale="60" showPageBreaks="1" showGridLines="0" outlineSymbols="0" fitToPage="1" printArea="1">
      <selection activeCell="C4" sqref="C4"/>
      <colBreaks count="1" manualBreakCount="1">
        <brk id="30" max="54" man="1"/>
      </colBreaks>
      <pageMargins left="0.1" right="0.1" top="0.75" bottom="0.25" header="0" footer="0.25"/>
      <pageSetup scale="41" orientation="landscape" r:id="rId7"/>
      <headerFooter scaleWithDoc="0" alignWithMargins="0">
        <oddHeader xml:space="preserve">&amp;L&amp;14 </oddHeader>
        <oddFooter>&amp;C&amp;8 47</oddFooter>
      </headerFooter>
    </customSheetView>
    <customSheetView guid="{90B76C5A-2FC4-40F0-8436-3E4F075A4887}" scale="70" showPageBreaks="1" showGridLines="0" outlineSymbols="0" fitToPage="1" printArea="1" topLeftCell="E10">
      <selection activeCell="N32" sqref="N32"/>
      <colBreaks count="1" manualBreakCount="1">
        <brk id="30" max="54" man="1"/>
      </colBreaks>
      <pageMargins left="0.1" right="0.1" top="0.75" bottom="0.25" header="0" footer="0.25"/>
      <pageSetup scale="41" orientation="landscape" r:id="rId8"/>
      <headerFooter scaleWithDoc="0" alignWithMargins="0">
        <oddHeader xml:space="preserve">&amp;L&amp;14 </oddHeader>
        <oddFooter>&amp;C&amp;8 47</oddFooter>
      </headerFooter>
    </customSheetView>
  </customSheetViews>
  <pageMargins left="0.1" right="0.1" top="0.75" bottom="0.25" header="0" footer="0.25"/>
  <pageSetup scale="42" firstPageNumber="47" orientation="landscape" useFirstPageNumber="1" r:id="rId9"/>
  <headerFooter scaleWithDoc="0" alignWithMargins="0">
    <oddHeader xml:space="preserve">&amp;L&amp;14 </oddHeader>
    <oddFooter>&amp;C&amp;8&amp;P</oddFooter>
  </headerFooter>
  <colBreaks count="1" manualBreakCount="1">
    <brk id="30" max="54" man="1"/>
  </colBreaks>
  <ignoredErrors>
    <ignoredError sqref="B9" numberStoredAsText="1"/>
  </ignoredErrors>
</worksheet>
</file>

<file path=xl/worksheets/sheet38.xml><?xml version="1.0" encoding="utf-8"?>
<worksheet xmlns="http://schemas.openxmlformats.org/spreadsheetml/2006/main" xmlns:r="http://schemas.openxmlformats.org/officeDocument/2006/relationships">
  <sheetPr codeName="Sheet36">
    <pageSetUpPr autoPageBreaks="0"/>
  </sheetPr>
  <dimension ref="A1:S118"/>
  <sheetViews>
    <sheetView showGridLines="0" zoomScaleNormal="100" workbookViewId="0"/>
  </sheetViews>
  <sheetFormatPr defaultRowHeight="12.75"/>
  <cols>
    <col min="1" max="1" width="46.5546875" style="2041" customWidth="1"/>
    <col min="2" max="2" width="1.21875" style="2041" customWidth="1"/>
    <col min="3" max="3" width="17.6640625" style="2041" customWidth="1"/>
    <col min="4" max="4" width="1.21875" style="2041" customWidth="1"/>
    <col min="5" max="5" width="15.88671875" style="2043" customWidth="1"/>
    <col min="6" max="6" width="1.21875" style="2043" customWidth="1"/>
    <col min="7" max="7" width="16.109375" style="2043" customWidth="1"/>
    <col min="8" max="8" width="1.33203125" style="2043" customWidth="1"/>
    <col min="9" max="9" width="16.109375" style="2043" customWidth="1"/>
    <col min="10" max="10" width="1.21875" style="2043" customWidth="1"/>
    <col min="11" max="11" width="17.109375" style="2043" customWidth="1"/>
    <col min="12" max="12" width="7.109375" style="2041" customWidth="1"/>
    <col min="13" max="13" width="15.21875" style="2041" customWidth="1"/>
    <col min="14" max="14" width="7.109375" style="2041" customWidth="1"/>
    <col min="15" max="16" width="8.88671875" style="2046"/>
    <col min="17" max="18" width="13" style="2817" bestFit="1" customWidth="1"/>
    <col min="19" max="19" width="8.88671875" style="2046"/>
    <col min="20" max="16384" width="8.88671875" style="2041"/>
  </cols>
  <sheetData>
    <row r="1" spans="1:19" ht="15">
      <c r="A1" s="1227" t="s">
        <v>1322</v>
      </c>
      <c r="K1" s="3320"/>
    </row>
    <row r="2" spans="1:19" ht="15">
      <c r="A2" s="2079"/>
      <c r="K2" s="3320"/>
    </row>
    <row r="3" spans="1:19" s="2084" customFormat="1">
      <c r="A3" s="2080" t="s">
        <v>542</v>
      </c>
      <c r="B3" s="2080"/>
      <c r="C3" s="2081"/>
      <c r="D3" s="2082"/>
      <c r="E3" s="2083"/>
      <c r="F3" s="2083"/>
      <c r="G3" s="2083"/>
      <c r="H3" s="2083"/>
      <c r="I3" s="2083"/>
      <c r="J3" s="2083"/>
      <c r="K3" s="3321" t="s">
        <v>543</v>
      </c>
      <c r="O3" s="1176"/>
      <c r="P3" s="1176"/>
      <c r="Q3" s="2818"/>
      <c r="R3" s="2818"/>
      <c r="S3" s="1176"/>
    </row>
    <row r="4" spans="1:19" s="2084" customFormat="1">
      <c r="A4" s="2080" t="s">
        <v>544</v>
      </c>
      <c r="B4" s="2080"/>
      <c r="C4" s="2081"/>
      <c r="D4" s="2082"/>
      <c r="E4" s="2083"/>
      <c r="F4" s="2083"/>
      <c r="G4" s="2083"/>
      <c r="H4" s="2083"/>
      <c r="I4" s="2083"/>
      <c r="J4" s="2083"/>
      <c r="K4" s="3322"/>
      <c r="O4" s="1176"/>
      <c r="P4" s="1176"/>
      <c r="Q4" s="2818"/>
      <c r="R4" s="2818"/>
      <c r="S4" s="1176"/>
    </row>
    <row r="5" spans="1:19" s="2084" customFormat="1">
      <c r="A5" s="2080" t="s">
        <v>545</v>
      </c>
      <c r="B5" s="2080"/>
      <c r="C5" s="2081"/>
      <c r="D5" s="2082"/>
      <c r="E5" s="2083"/>
      <c r="F5" s="2083"/>
      <c r="G5" s="2083"/>
      <c r="H5" s="2083"/>
      <c r="I5" s="2083"/>
      <c r="J5" s="2083"/>
      <c r="K5" s="3322"/>
      <c r="O5" s="1176"/>
      <c r="P5" s="1176"/>
      <c r="Q5" s="2818"/>
      <c r="R5" s="2818"/>
      <c r="S5" s="1176"/>
    </row>
    <row r="6" spans="1:19" s="2084" customFormat="1">
      <c r="A6" s="2085" t="s">
        <v>1175</v>
      </c>
      <c r="B6" s="2085"/>
      <c r="C6" s="2086"/>
      <c r="D6" s="2087"/>
      <c r="E6" s="2083"/>
      <c r="F6" s="2083"/>
      <c r="G6" s="2083"/>
      <c r="H6" s="2083"/>
      <c r="I6" s="2083"/>
      <c r="J6" s="2083"/>
      <c r="K6" s="3322"/>
      <c r="O6" s="1176"/>
      <c r="P6" s="1176"/>
      <c r="Q6" s="2818"/>
      <c r="R6" s="2818"/>
      <c r="S6" s="1176"/>
    </row>
    <row r="7" spans="1:19">
      <c r="C7" s="2046"/>
      <c r="K7" s="3217"/>
    </row>
    <row r="8" spans="1:19" ht="25.5">
      <c r="A8" s="2088" t="s">
        <v>547</v>
      </c>
      <c r="B8" s="2089"/>
      <c r="C8" s="2090" t="s">
        <v>1228</v>
      </c>
      <c r="D8" s="2091"/>
      <c r="E8" s="2092" t="s">
        <v>1581</v>
      </c>
      <c r="F8" s="3217"/>
      <c r="G8" s="3323" t="s">
        <v>1653</v>
      </c>
      <c r="I8" s="3323" t="s">
        <v>1654</v>
      </c>
      <c r="K8" s="3324" t="s">
        <v>1655</v>
      </c>
    </row>
    <row r="9" spans="1:19" s="2084" customFormat="1" ht="15">
      <c r="A9" s="2093" t="s">
        <v>548</v>
      </c>
      <c r="B9" s="1183"/>
      <c r="C9" s="2094">
        <v>75016000</v>
      </c>
      <c r="D9" s="1183"/>
      <c r="E9" s="2095"/>
      <c r="F9" s="2095"/>
      <c r="G9" s="2095"/>
      <c r="H9" s="2095"/>
      <c r="I9" s="2095"/>
      <c r="J9" s="2095"/>
      <c r="K9" s="2094"/>
      <c r="L9" s="2819"/>
      <c r="M9" s="2820"/>
      <c r="N9" s="2047"/>
      <c r="O9" s="1176"/>
      <c r="P9" s="1176"/>
      <c r="Q9" s="2818"/>
      <c r="R9" s="2818"/>
      <c r="S9" s="1176"/>
    </row>
    <row r="10" spans="1:19" s="2084" customFormat="1">
      <c r="A10" s="2041" t="s">
        <v>1330</v>
      </c>
      <c r="B10" s="2041"/>
      <c r="C10" s="2096"/>
      <c r="D10" s="2097"/>
      <c r="E10" s="2098">
        <v>0</v>
      </c>
      <c r="F10" s="2098"/>
      <c r="G10" s="2098">
        <v>0</v>
      </c>
      <c r="H10" s="2101"/>
      <c r="I10" s="2098">
        <v>0</v>
      </c>
      <c r="J10" s="2099"/>
      <c r="K10" s="2098">
        <f t="shared" ref="K10:K15" si="0">ROUND(SUM(E10)+G10+I10,0)</f>
        <v>0</v>
      </c>
      <c r="L10" s="2819"/>
      <c r="M10" s="2821"/>
      <c r="N10" s="2047"/>
      <c r="O10" s="1176"/>
      <c r="P10" s="1176"/>
      <c r="Q10" s="2818"/>
      <c r="R10" s="2818"/>
      <c r="S10" s="1176"/>
    </row>
    <row r="11" spans="1:19" s="2084" customFormat="1">
      <c r="A11" s="2041" t="s">
        <v>1331</v>
      </c>
      <c r="B11" s="2041"/>
      <c r="C11" s="2096"/>
      <c r="D11" s="2097"/>
      <c r="E11" s="2101">
        <v>0</v>
      </c>
      <c r="F11" s="2101"/>
      <c r="G11" s="2101">
        <v>0</v>
      </c>
      <c r="H11" s="2101"/>
      <c r="I11" s="2101">
        <v>0</v>
      </c>
      <c r="J11" s="2101"/>
      <c r="K11" s="3325">
        <f t="shared" si="0"/>
        <v>0</v>
      </c>
      <c r="L11" s="2819"/>
      <c r="M11" s="2821"/>
      <c r="N11" s="2047"/>
      <c r="O11" s="1176"/>
      <c r="P11" s="1176"/>
      <c r="Q11" s="2818"/>
      <c r="R11" s="2818"/>
      <c r="S11" s="1176"/>
    </row>
    <row r="12" spans="1:19" s="2084" customFormat="1">
      <c r="A12" s="2041" t="s">
        <v>549</v>
      </c>
      <c r="B12" s="2041" t="s">
        <v>16</v>
      </c>
      <c r="C12" s="2096"/>
      <c r="D12" s="2097"/>
      <c r="E12" s="2101">
        <v>0</v>
      </c>
      <c r="F12" s="2101"/>
      <c r="G12" s="2101">
        <v>0</v>
      </c>
      <c r="H12" s="2101"/>
      <c r="I12" s="2101">
        <v>0</v>
      </c>
      <c r="J12" s="2101"/>
      <c r="K12" s="3325">
        <f t="shared" si="0"/>
        <v>0</v>
      </c>
      <c r="L12" s="2819"/>
      <c r="M12" s="2821"/>
      <c r="N12" s="2047"/>
      <c r="O12" s="1176"/>
      <c r="P12" s="1176"/>
      <c r="Q12" s="2818"/>
      <c r="R12" s="2818"/>
      <c r="S12" s="1176"/>
    </row>
    <row r="13" spans="1:19" s="2084" customFormat="1">
      <c r="A13" s="2041" t="s">
        <v>550</v>
      </c>
      <c r="B13" s="2041"/>
      <c r="C13" s="2096"/>
      <c r="D13" s="2097"/>
      <c r="E13" s="2101">
        <v>0</v>
      </c>
      <c r="F13" s="2101"/>
      <c r="G13" s="2101">
        <v>0</v>
      </c>
      <c r="H13" s="2101"/>
      <c r="I13" s="2101">
        <v>0</v>
      </c>
      <c r="J13" s="2101"/>
      <c r="K13" s="3325">
        <f t="shared" si="0"/>
        <v>0</v>
      </c>
      <c r="L13" s="2819"/>
      <c r="M13" s="2821"/>
      <c r="N13" s="2047"/>
      <c r="O13" s="1176"/>
      <c r="P13" s="1176"/>
      <c r="Q13" s="2818"/>
      <c r="R13" s="2818"/>
      <c r="S13" s="1176"/>
    </row>
    <row r="14" spans="1:19" s="2084" customFormat="1">
      <c r="A14" s="2041" t="s">
        <v>551</v>
      </c>
      <c r="B14" s="2041"/>
      <c r="C14" s="2096"/>
      <c r="D14" s="2097"/>
      <c r="E14" s="2101">
        <v>0</v>
      </c>
      <c r="F14" s="2101"/>
      <c r="G14" s="2101">
        <v>0</v>
      </c>
      <c r="H14" s="2101"/>
      <c r="I14" s="2101">
        <v>0</v>
      </c>
      <c r="J14" s="2101"/>
      <c r="K14" s="3325">
        <f t="shared" si="0"/>
        <v>0</v>
      </c>
      <c r="L14" s="2819"/>
      <c r="M14" s="2821"/>
      <c r="N14" s="2047"/>
      <c r="O14" s="1176"/>
      <c r="P14" s="1176"/>
      <c r="Q14" s="2818"/>
      <c r="R14" s="2818"/>
      <c r="S14" s="1176"/>
    </row>
    <row r="15" spans="1:19" s="2084" customFormat="1">
      <c r="A15" s="2041" t="s">
        <v>552</v>
      </c>
      <c r="B15" s="2041"/>
      <c r="C15" s="2096"/>
      <c r="D15" s="2097"/>
      <c r="E15" s="2101">
        <v>0</v>
      </c>
      <c r="F15" s="2101"/>
      <c r="G15" s="2101">
        <v>0</v>
      </c>
      <c r="H15" s="2101"/>
      <c r="I15" s="2101">
        <v>0</v>
      </c>
      <c r="J15" s="2101"/>
      <c r="K15" s="3325">
        <f t="shared" si="0"/>
        <v>0</v>
      </c>
      <c r="L15" s="2819"/>
      <c r="M15" s="2821"/>
      <c r="N15" s="2047"/>
      <c r="O15" s="1176"/>
      <c r="P15" s="1176"/>
      <c r="Q15" s="2818"/>
      <c r="R15" s="2818"/>
      <c r="S15" s="1176"/>
    </row>
    <row r="16" spans="1:19" s="2084" customFormat="1">
      <c r="A16" s="2093" t="s">
        <v>553</v>
      </c>
      <c r="B16" s="2089"/>
      <c r="C16" s="2103">
        <v>155775682</v>
      </c>
      <c r="D16" s="2104"/>
      <c r="E16" s="2101"/>
      <c r="F16" s="2101"/>
      <c r="G16" s="2101"/>
      <c r="H16" s="2101"/>
      <c r="I16" s="2101"/>
      <c r="J16" s="2101"/>
      <c r="K16" s="3325"/>
      <c r="L16" s="2819"/>
      <c r="M16" s="2822"/>
      <c r="N16" s="2047"/>
      <c r="O16" s="1176"/>
      <c r="P16" s="1176"/>
      <c r="Q16" s="2818"/>
      <c r="R16" s="2818"/>
      <c r="S16" s="1176"/>
    </row>
    <row r="17" spans="1:19" s="2084" customFormat="1">
      <c r="A17" s="2041" t="s">
        <v>554</v>
      </c>
      <c r="B17" s="2105"/>
      <c r="C17" s="2048"/>
      <c r="D17" s="2106"/>
      <c r="E17" s="2101">
        <v>0</v>
      </c>
      <c r="F17" s="2101"/>
      <c r="G17" s="2101">
        <v>0</v>
      </c>
      <c r="H17" s="2101"/>
      <c r="I17" s="2101">
        <v>0</v>
      </c>
      <c r="J17" s="2101"/>
      <c r="K17" s="3325">
        <f t="shared" ref="K17:K33" si="1">ROUND(SUM(E17)+G17+I17,0)</f>
        <v>0</v>
      </c>
      <c r="L17" s="2819"/>
      <c r="M17" s="2822"/>
      <c r="N17" s="2047"/>
      <c r="O17" s="1176"/>
      <c r="P17" s="1176"/>
      <c r="Q17" s="2818"/>
      <c r="R17" s="2818"/>
      <c r="S17" s="1176"/>
    </row>
    <row r="18" spans="1:19" s="2084" customFormat="1">
      <c r="A18" s="2041" t="s">
        <v>555</v>
      </c>
      <c r="B18" s="2105"/>
      <c r="C18" s="2048"/>
      <c r="D18" s="2106"/>
      <c r="E18" s="2101">
        <v>0</v>
      </c>
      <c r="F18" s="2101"/>
      <c r="G18" s="2101">
        <v>0</v>
      </c>
      <c r="H18" s="2101"/>
      <c r="I18" s="2101">
        <v>0</v>
      </c>
      <c r="J18" s="2101"/>
      <c r="K18" s="3325">
        <f t="shared" si="1"/>
        <v>0</v>
      </c>
      <c r="L18" s="2819"/>
      <c r="M18" s="2822"/>
      <c r="N18" s="2047"/>
      <c r="O18" s="1176"/>
      <c r="P18" s="1176"/>
      <c r="Q18" s="2818"/>
      <c r="R18" s="2818"/>
      <c r="S18" s="1176"/>
    </row>
    <row r="19" spans="1:19" s="2084" customFormat="1">
      <c r="A19" s="2041" t="s">
        <v>556</v>
      </c>
      <c r="B19" s="2105"/>
      <c r="C19" s="2048"/>
      <c r="D19" s="2106"/>
      <c r="E19" s="2101">
        <v>534867</v>
      </c>
      <c r="F19" s="2101"/>
      <c r="G19" s="2101">
        <v>608653</v>
      </c>
      <c r="H19" s="2101"/>
      <c r="I19" s="2101">
        <v>124693</v>
      </c>
      <c r="J19" s="2101"/>
      <c r="K19" s="3325">
        <f t="shared" si="1"/>
        <v>1268213</v>
      </c>
      <c r="L19" s="2819"/>
      <c r="M19" s="2822"/>
      <c r="N19" s="2047"/>
      <c r="O19" s="1176"/>
      <c r="P19" s="1176"/>
      <c r="Q19" s="2818"/>
      <c r="R19" s="2818"/>
      <c r="S19" s="1176"/>
    </row>
    <row r="20" spans="1:19" s="2084" customFormat="1">
      <c r="A20" s="2041" t="s">
        <v>557</v>
      </c>
      <c r="B20" s="2105"/>
      <c r="C20" s="2048"/>
      <c r="D20" s="2106"/>
      <c r="E20" s="2101">
        <v>0</v>
      </c>
      <c r="F20" s="2101"/>
      <c r="G20" s="2101">
        <v>0</v>
      </c>
      <c r="H20" s="2101"/>
      <c r="I20" s="2101">
        <v>0</v>
      </c>
      <c r="J20" s="2101"/>
      <c r="K20" s="3325">
        <f t="shared" si="1"/>
        <v>0</v>
      </c>
      <c r="L20" s="2819"/>
      <c r="M20" s="2822"/>
      <c r="N20" s="2047"/>
      <c r="O20" s="1176"/>
      <c r="P20" s="1176"/>
      <c r="Q20" s="2818"/>
      <c r="R20" s="2818"/>
      <c r="S20" s="1176"/>
    </row>
    <row r="21" spans="1:19" s="2084" customFormat="1">
      <c r="A21" s="2041" t="s">
        <v>558</v>
      </c>
      <c r="B21" s="2105"/>
      <c r="C21" s="2048"/>
      <c r="D21" s="2106"/>
      <c r="E21" s="2101">
        <v>0</v>
      </c>
      <c r="F21" s="2101"/>
      <c r="G21" s="2101">
        <v>0</v>
      </c>
      <c r="H21" s="2101"/>
      <c r="I21" s="2101">
        <v>0</v>
      </c>
      <c r="J21" s="2101"/>
      <c r="K21" s="3325">
        <f t="shared" si="1"/>
        <v>0</v>
      </c>
      <c r="L21" s="2819"/>
      <c r="M21" s="2822"/>
      <c r="N21" s="2047"/>
      <c r="O21" s="1176"/>
      <c r="P21" s="1176"/>
      <c r="Q21" s="2818"/>
      <c r="R21" s="2818"/>
      <c r="S21" s="1176"/>
    </row>
    <row r="22" spans="1:19" s="2084" customFormat="1">
      <c r="A22" s="2041" t="s">
        <v>559</v>
      </c>
      <c r="B22" s="2105"/>
      <c r="C22" s="2048"/>
      <c r="D22" s="2106"/>
      <c r="E22" s="2101">
        <v>0</v>
      </c>
      <c r="F22" s="2101"/>
      <c r="G22" s="2101">
        <v>0</v>
      </c>
      <c r="H22" s="2101"/>
      <c r="I22" s="2101">
        <v>0</v>
      </c>
      <c r="J22" s="2101"/>
      <c r="K22" s="3325">
        <f t="shared" si="1"/>
        <v>0</v>
      </c>
      <c r="L22" s="2819"/>
      <c r="M22" s="2822"/>
      <c r="N22" s="2047"/>
      <c r="O22" s="1176"/>
      <c r="P22" s="1176"/>
      <c r="Q22" s="2818"/>
      <c r="R22" s="2818"/>
      <c r="S22" s="1176"/>
    </row>
    <row r="23" spans="1:19" s="2084" customFormat="1">
      <c r="A23" s="2041" t="s">
        <v>560</v>
      </c>
      <c r="B23" s="2105"/>
      <c r="C23" s="2048"/>
      <c r="D23" s="2106"/>
      <c r="E23" s="2101">
        <v>-140</v>
      </c>
      <c r="F23" s="2101"/>
      <c r="G23" s="2101">
        <v>-7</v>
      </c>
      <c r="H23" s="2101"/>
      <c r="I23" s="2101">
        <v>-289</v>
      </c>
      <c r="J23" s="2101"/>
      <c r="K23" s="3325">
        <f t="shared" si="1"/>
        <v>-436</v>
      </c>
      <c r="L23" s="2819"/>
      <c r="M23" s="2822"/>
      <c r="N23" s="2047"/>
      <c r="O23" s="1176"/>
      <c r="P23" s="1176"/>
      <c r="Q23" s="2818"/>
      <c r="R23" s="2818"/>
      <c r="S23" s="1176"/>
    </row>
    <row r="24" spans="1:19" s="2084" customFormat="1">
      <c r="A24" s="2041" t="s">
        <v>561</v>
      </c>
      <c r="B24" s="2105"/>
      <c r="C24" s="2048"/>
      <c r="D24" s="2106"/>
      <c r="E24" s="2101">
        <v>0</v>
      </c>
      <c r="F24" s="2101"/>
      <c r="G24" s="2101">
        <v>0</v>
      </c>
      <c r="H24" s="2101"/>
      <c r="I24" s="2101">
        <v>0</v>
      </c>
      <c r="J24" s="2101"/>
      <c r="K24" s="3325">
        <f t="shared" si="1"/>
        <v>0</v>
      </c>
      <c r="L24" s="2819"/>
      <c r="M24" s="2822"/>
      <c r="N24" s="2047"/>
      <c r="O24" s="1176"/>
      <c r="P24" s="1176"/>
      <c r="Q24" s="2818"/>
      <c r="R24" s="2818"/>
      <c r="S24" s="1176"/>
    </row>
    <row r="25" spans="1:19" s="2084" customFormat="1">
      <c r="A25" s="2041" t="s">
        <v>1332</v>
      </c>
      <c r="B25" s="2105"/>
      <c r="C25" s="2048"/>
      <c r="D25" s="2106"/>
      <c r="E25" s="2101">
        <v>0</v>
      </c>
      <c r="F25" s="2101"/>
      <c r="G25" s="2101">
        <v>0</v>
      </c>
      <c r="H25" s="2101"/>
      <c r="I25" s="2101">
        <v>0</v>
      </c>
      <c r="J25" s="2101"/>
      <c r="K25" s="3325">
        <f t="shared" si="1"/>
        <v>0</v>
      </c>
      <c r="L25" s="2819"/>
      <c r="M25" s="2822"/>
      <c r="N25" s="2047"/>
      <c r="O25" s="1176"/>
      <c r="P25" s="1176"/>
      <c r="Q25" s="2818"/>
      <c r="R25" s="2818"/>
      <c r="S25" s="1176"/>
    </row>
    <row r="26" spans="1:19" s="2084" customFormat="1">
      <c r="A26" s="2041" t="s">
        <v>562</v>
      </c>
      <c r="B26" s="2105"/>
      <c r="C26" s="2048"/>
      <c r="D26" s="2106"/>
      <c r="E26" s="2101">
        <v>0</v>
      </c>
      <c r="F26" s="2101"/>
      <c r="G26" s="2101">
        <v>0</v>
      </c>
      <c r="H26" s="2101"/>
      <c r="I26" s="2101">
        <v>0</v>
      </c>
      <c r="J26" s="2101"/>
      <c r="K26" s="3325">
        <f t="shared" si="1"/>
        <v>0</v>
      </c>
      <c r="L26" s="2819"/>
      <c r="M26" s="2822"/>
      <c r="N26" s="2047"/>
      <c r="O26" s="1176"/>
      <c r="P26" s="1176"/>
      <c r="Q26" s="2818"/>
      <c r="R26" s="2818"/>
      <c r="S26" s="1176"/>
    </row>
    <row r="27" spans="1:19" s="2084" customFormat="1">
      <c r="A27" s="2041" t="s">
        <v>563</v>
      </c>
      <c r="B27" s="2105"/>
      <c r="C27" s="2048"/>
      <c r="D27" s="2106"/>
      <c r="E27" s="2101">
        <v>0</v>
      </c>
      <c r="F27" s="2101"/>
      <c r="G27" s="2101">
        <v>0</v>
      </c>
      <c r="H27" s="2101"/>
      <c r="I27" s="2101">
        <v>0</v>
      </c>
      <c r="J27" s="2101"/>
      <c r="K27" s="3325">
        <f t="shared" si="1"/>
        <v>0</v>
      </c>
      <c r="L27" s="2819"/>
      <c r="M27" s="2822"/>
      <c r="N27" s="2047"/>
      <c r="O27" s="1176"/>
      <c r="P27" s="1176"/>
      <c r="Q27" s="2818"/>
      <c r="R27" s="2818"/>
      <c r="S27" s="1176"/>
    </row>
    <row r="28" spans="1:19" s="2084" customFormat="1">
      <c r="A28" s="2041" t="s">
        <v>564</v>
      </c>
      <c r="B28" s="2105"/>
      <c r="C28" s="2048"/>
      <c r="D28" s="2106"/>
      <c r="E28" s="2101">
        <v>0</v>
      </c>
      <c r="F28" s="2101"/>
      <c r="G28" s="2101">
        <v>0</v>
      </c>
      <c r="H28" s="2101"/>
      <c r="I28" s="2101">
        <v>0</v>
      </c>
      <c r="J28" s="2101"/>
      <c r="K28" s="3325">
        <f t="shared" si="1"/>
        <v>0</v>
      </c>
      <c r="L28" s="2819"/>
      <c r="M28" s="2822"/>
      <c r="N28" s="2047"/>
      <c r="O28" s="1176"/>
      <c r="P28" s="1176"/>
      <c r="Q28" s="2818"/>
      <c r="R28" s="2818"/>
      <c r="S28" s="1176"/>
    </row>
    <row r="29" spans="1:19" s="2084" customFormat="1">
      <c r="A29" s="2041" t="s">
        <v>565</v>
      </c>
      <c r="B29" s="2105"/>
      <c r="C29" s="2048"/>
      <c r="D29" s="2106"/>
      <c r="E29" s="2101">
        <v>0</v>
      </c>
      <c r="F29" s="2101"/>
      <c r="G29" s="2101">
        <v>0</v>
      </c>
      <c r="H29" s="2101"/>
      <c r="I29" s="2101">
        <v>0</v>
      </c>
      <c r="J29" s="2101"/>
      <c r="K29" s="3325">
        <f t="shared" si="1"/>
        <v>0</v>
      </c>
      <c r="L29" s="2819"/>
      <c r="M29" s="2822"/>
      <c r="N29" s="2047"/>
      <c r="O29" s="1176"/>
      <c r="P29" s="1176"/>
      <c r="Q29" s="2818"/>
      <c r="R29" s="2818"/>
      <c r="S29" s="1176"/>
    </row>
    <row r="30" spans="1:19" s="2084" customFormat="1">
      <c r="A30" s="2041" t="s">
        <v>566</v>
      </c>
      <c r="B30" s="2105"/>
      <c r="C30" s="2048"/>
      <c r="D30" s="2106"/>
      <c r="E30" s="2101">
        <v>0</v>
      </c>
      <c r="F30" s="2101"/>
      <c r="G30" s="2101">
        <v>0</v>
      </c>
      <c r="H30" s="2101"/>
      <c r="I30" s="2101">
        <v>0</v>
      </c>
      <c r="J30" s="2101"/>
      <c r="K30" s="3325">
        <f t="shared" si="1"/>
        <v>0</v>
      </c>
      <c r="L30" s="2819"/>
      <c r="M30" s="2822"/>
      <c r="N30" s="2047"/>
      <c r="O30" s="1176"/>
      <c r="P30" s="1176"/>
      <c r="Q30" s="2818"/>
      <c r="R30" s="2818"/>
      <c r="S30" s="1176"/>
    </row>
    <row r="31" spans="1:19" s="2084" customFormat="1">
      <c r="A31" s="2041" t="s">
        <v>567</v>
      </c>
      <c r="B31" s="2105"/>
      <c r="C31" s="2048"/>
      <c r="D31" s="2106"/>
      <c r="E31" s="2101">
        <v>0</v>
      </c>
      <c r="F31" s="2101"/>
      <c r="G31" s="2101">
        <v>0</v>
      </c>
      <c r="H31" s="2101"/>
      <c r="I31" s="2101">
        <v>0</v>
      </c>
      <c r="J31" s="2101"/>
      <c r="K31" s="3325">
        <f t="shared" si="1"/>
        <v>0</v>
      </c>
      <c r="L31" s="2819"/>
      <c r="M31" s="2822"/>
      <c r="N31" s="2047"/>
      <c r="O31" s="1176"/>
      <c r="P31" s="1176"/>
      <c r="Q31" s="2818"/>
      <c r="R31" s="2818"/>
      <c r="S31" s="1176"/>
    </row>
    <row r="32" spans="1:19" s="2084" customFormat="1">
      <c r="A32" s="2041" t="s">
        <v>568</v>
      </c>
      <c r="B32" s="2105"/>
      <c r="C32" s="2048"/>
      <c r="D32" s="2106"/>
      <c r="E32" s="2101">
        <v>0</v>
      </c>
      <c r="F32" s="2101"/>
      <c r="G32" s="2101">
        <v>0</v>
      </c>
      <c r="H32" s="2101"/>
      <c r="I32" s="2101">
        <v>0</v>
      </c>
      <c r="J32" s="2101"/>
      <c r="K32" s="3325">
        <f t="shared" si="1"/>
        <v>0</v>
      </c>
      <c r="L32" s="2819"/>
      <c r="M32" s="2822"/>
      <c r="N32" s="2047"/>
      <c r="O32" s="1176"/>
      <c r="P32" s="1176"/>
      <c r="Q32" s="2818"/>
      <c r="R32" s="2818"/>
      <c r="S32" s="1176"/>
    </row>
    <row r="33" spans="1:19" s="2084" customFormat="1">
      <c r="A33" s="2041" t="s">
        <v>569</v>
      </c>
      <c r="B33" s="2105"/>
      <c r="C33" s="2048"/>
      <c r="D33" s="2106"/>
      <c r="E33" s="2101">
        <v>0</v>
      </c>
      <c r="F33" s="2101"/>
      <c r="G33" s="2101">
        <v>0</v>
      </c>
      <c r="H33" s="2101"/>
      <c r="I33" s="2101">
        <v>0</v>
      </c>
      <c r="J33" s="2101"/>
      <c r="K33" s="3325">
        <f t="shared" si="1"/>
        <v>0</v>
      </c>
      <c r="L33" s="2819"/>
      <c r="M33" s="2822"/>
      <c r="N33" s="2047"/>
      <c r="O33" s="1176"/>
      <c r="P33" s="1176"/>
      <c r="Q33" s="2818"/>
      <c r="R33" s="2818"/>
      <c r="S33" s="1176"/>
    </row>
    <row r="34" spans="1:19" ht="15">
      <c r="A34" s="2093" t="s">
        <v>570</v>
      </c>
      <c r="B34" s="2102"/>
      <c r="C34" s="2103">
        <v>996438800</v>
      </c>
      <c r="D34" s="2100"/>
      <c r="E34" s="2049"/>
      <c r="F34" s="2049"/>
      <c r="G34" s="2101"/>
      <c r="H34" s="2049"/>
      <c r="I34" s="2049"/>
      <c r="J34" s="2049"/>
      <c r="K34" s="3325"/>
      <c r="M34" s="2820"/>
      <c r="N34" s="2047"/>
    </row>
    <row r="35" spans="1:19">
      <c r="A35" s="2041" t="s">
        <v>571</v>
      </c>
      <c r="B35" s="2041" t="s">
        <v>16</v>
      </c>
      <c r="C35" s="2043"/>
      <c r="D35" s="2050"/>
      <c r="E35" s="2049">
        <v>68544826</v>
      </c>
      <c r="F35" s="2049"/>
      <c r="G35" s="2101">
        <v>134295628</v>
      </c>
      <c r="H35" s="2049"/>
      <c r="I35" s="2049">
        <v>22965540</v>
      </c>
      <c r="J35" s="2049"/>
      <c r="K35" s="3325">
        <f>ROUND(SUM(E35)+G35+I35,0)</f>
        <v>225805994</v>
      </c>
      <c r="M35" s="2821"/>
      <c r="N35" s="2047"/>
    </row>
    <row r="36" spans="1:19" ht="15">
      <c r="A36" s="2093" t="s">
        <v>572</v>
      </c>
      <c r="B36" s="2107"/>
      <c r="C36" s="2103">
        <v>120000</v>
      </c>
      <c r="D36" s="2108"/>
      <c r="E36" s="2049"/>
      <c r="F36" s="2049"/>
      <c r="G36" s="2101"/>
      <c r="H36" s="2049"/>
      <c r="I36" s="2049"/>
      <c r="J36" s="2049"/>
      <c r="K36" s="3325"/>
      <c r="M36" s="2820"/>
      <c r="N36" s="2047"/>
    </row>
    <row r="37" spans="1:19">
      <c r="A37" s="2041" t="s">
        <v>573</v>
      </c>
      <c r="B37" s="2041" t="s">
        <v>16</v>
      </c>
      <c r="C37" s="2043"/>
      <c r="D37" s="2050"/>
      <c r="E37" s="2049">
        <v>15000</v>
      </c>
      <c r="F37" s="2049"/>
      <c r="G37" s="2101">
        <v>15000</v>
      </c>
      <c r="H37" s="2049"/>
      <c r="I37" s="2049">
        <v>0</v>
      </c>
      <c r="J37" s="2049"/>
      <c r="K37" s="3325">
        <f>ROUND(SUM(E37)+G37+I37,0)</f>
        <v>30000</v>
      </c>
      <c r="M37" s="2821"/>
      <c r="N37" s="2047"/>
    </row>
    <row r="38" spans="1:19" ht="15">
      <c r="A38" s="2093" t="s">
        <v>574</v>
      </c>
      <c r="B38" s="2109"/>
      <c r="C38" s="2103">
        <v>342821000</v>
      </c>
      <c r="D38" s="2110"/>
      <c r="E38" s="2049"/>
      <c r="F38" s="2049"/>
      <c r="G38" s="2101"/>
      <c r="H38" s="2049"/>
      <c r="I38" s="2049"/>
      <c r="J38" s="2049"/>
      <c r="K38" s="3325"/>
      <c r="M38" s="2820"/>
      <c r="N38" s="2047"/>
    </row>
    <row r="39" spans="1:19">
      <c r="A39" s="2041" t="s">
        <v>1676</v>
      </c>
      <c r="B39" s="2041" t="s">
        <v>16</v>
      </c>
      <c r="C39" s="2043"/>
      <c r="D39" s="2050"/>
      <c r="E39" s="2049">
        <v>22246334</v>
      </c>
      <c r="F39" s="2049"/>
      <c r="G39" s="2101">
        <v>41681136</v>
      </c>
      <c r="H39" s="2049"/>
      <c r="I39" s="2049">
        <v>16333663</v>
      </c>
      <c r="J39" s="2049"/>
      <c r="K39" s="3325">
        <f>ROUND(SUM(E39)+G39+I39,0)</f>
        <v>80261133</v>
      </c>
      <c r="M39" s="2821"/>
      <c r="N39" s="2047"/>
    </row>
    <row r="40" spans="1:19" ht="15">
      <c r="A40" s="2093" t="s">
        <v>575</v>
      </c>
      <c r="B40" s="2089"/>
      <c r="C40" s="2103">
        <v>4608800</v>
      </c>
      <c r="D40" s="2104"/>
      <c r="E40" s="2049"/>
      <c r="F40" s="2049"/>
      <c r="G40" s="2101"/>
      <c r="H40" s="2049"/>
      <c r="I40" s="2049"/>
      <c r="J40" s="2049"/>
      <c r="K40" s="3325"/>
      <c r="M40" s="2820"/>
      <c r="N40" s="2047"/>
    </row>
    <row r="41" spans="1:19">
      <c r="A41" s="2041" t="s">
        <v>576</v>
      </c>
      <c r="B41" s="2041" t="s">
        <v>16</v>
      </c>
      <c r="C41" s="2043"/>
      <c r="D41" s="2050"/>
      <c r="E41" s="2049">
        <v>285410</v>
      </c>
      <c r="F41" s="2049"/>
      <c r="G41" s="2101">
        <v>-153480</v>
      </c>
      <c r="H41" s="2049"/>
      <c r="I41" s="2049">
        <v>0</v>
      </c>
      <c r="J41" s="2049"/>
      <c r="K41" s="3325">
        <f>ROUND(SUM(E41)+G41+I41,0)</f>
        <v>131930</v>
      </c>
      <c r="M41" s="2821"/>
      <c r="N41" s="2047"/>
    </row>
    <row r="42" spans="1:19">
      <c r="A42" s="2093" t="s">
        <v>577</v>
      </c>
      <c r="B42" s="1183"/>
      <c r="C42" s="2103">
        <v>1873668384</v>
      </c>
      <c r="D42" s="2111"/>
      <c r="E42" s="2112"/>
      <c r="F42" s="2112"/>
      <c r="G42" s="2101"/>
      <c r="H42" s="2112"/>
      <c r="I42" s="2112"/>
      <c r="J42" s="2112"/>
      <c r="K42" s="3325"/>
      <c r="M42" s="2046"/>
      <c r="N42" s="2046"/>
    </row>
    <row r="43" spans="1:19">
      <c r="A43" s="2041" t="s">
        <v>578</v>
      </c>
      <c r="C43" s="2043"/>
      <c r="D43" s="2050"/>
      <c r="E43" s="2049">
        <v>0</v>
      </c>
      <c r="F43" s="2049"/>
      <c r="G43" s="2101">
        <v>0</v>
      </c>
      <c r="H43" s="2049"/>
      <c r="I43" s="2049">
        <v>20000000</v>
      </c>
      <c r="J43" s="2049"/>
      <c r="K43" s="3325">
        <f t="shared" ref="K43:K71" si="2">ROUND(SUM(E43)+G43+I43,0)</f>
        <v>20000000</v>
      </c>
      <c r="M43" s="2822"/>
      <c r="N43" s="2047"/>
    </row>
    <row r="44" spans="1:19">
      <c r="A44" s="2041" t="s">
        <v>579</v>
      </c>
      <c r="C44" s="2043"/>
      <c r="D44" s="2050"/>
      <c r="E44" s="2049">
        <v>149842</v>
      </c>
      <c r="F44" s="2049"/>
      <c r="G44" s="2101">
        <v>712431</v>
      </c>
      <c r="H44" s="2049"/>
      <c r="I44" s="2049">
        <v>0</v>
      </c>
      <c r="J44" s="2049"/>
      <c r="K44" s="3325">
        <f t="shared" si="2"/>
        <v>862273</v>
      </c>
      <c r="M44" s="2822"/>
      <c r="N44" s="2047"/>
    </row>
    <row r="45" spans="1:19">
      <c r="A45" s="2041" t="s">
        <v>580</v>
      </c>
      <c r="C45" s="2043"/>
      <c r="D45" s="2050"/>
      <c r="E45" s="2049">
        <v>0</v>
      </c>
      <c r="F45" s="2049"/>
      <c r="G45" s="2101">
        <v>1638342</v>
      </c>
      <c r="H45" s="2049"/>
      <c r="I45" s="2049">
        <v>439055</v>
      </c>
      <c r="J45" s="2049"/>
      <c r="K45" s="3325">
        <f t="shared" si="2"/>
        <v>2077397</v>
      </c>
      <c r="M45" s="2821"/>
      <c r="N45" s="2047"/>
    </row>
    <row r="46" spans="1:19">
      <c r="A46" s="2041" t="s">
        <v>581</v>
      </c>
      <c r="C46" s="2043"/>
      <c r="D46" s="2050"/>
      <c r="E46" s="2049">
        <v>0</v>
      </c>
      <c r="F46" s="2049"/>
      <c r="G46" s="2101">
        <v>250000</v>
      </c>
      <c r="H46" s="2049"/>
      <c r="I46" s="2049">
        <v>0</v>
      </c>
      <c r="J46" s="2049"/>
      <c r="K46" s="3325">
        <f t="shared" si="2"/>
        <v>250000</v>
      </c>
      <c r="M46" s="2821"/>
      <c r="N46" s="2047"/>
    </row>
    <row r="47" spans="1:19">
      <c r="A47" s="2041" t="s">
        <v>1333</v>
      </c>
      <c r="C47" s="2043"/>
      <c r="D47" s="2050"/>
      <c r="E47" s="2049">
        <v>0</v>
      </c>
      <c r="F47" s="2049"/>
      <c r="G47" s="2101">
        <v>0</v>
      </c>
      <c r="H47" s="2049"/>
      <c r="I47" s="2049">
        <v>38587500</v>
      </c>
      <c r="J47" s="2049"/>
      <c r="K47" s="3325">
        <f t="shared" si="2"/>
        <v>38587500</v>
      </c>
      <c r="M47" s="2821"/>
      <c r="N47" s="2047"/>
    </row>
    <row r="48" spans="1:19">
      <c r="A48" s="2041" t="s">
        <v>582</v>
      </c>
      <c r="C48" s="2043"/>
      <c r="D48" s="2050"/>
      <c r="E48" s="2049">
        <v>0</v>
      </c>
      <c r="F48" s="2049"/>
      <c r="G48" s="2101">
        <v>0</v>
      </c>
      <c r="H48" s="2049"/>
      <c r="I48" s="2049">
        <v>0</v>
      </c>
      <c r="J48" s="2049"/>
      <c r="K48" s="3325">
        <f t="shared" si="2"/>
        <v>0</v>
      </c>
      <c r="M48" s="2822"/>
      <c r="N48" s="2047"/>
    </row>
    <row r="49" spans="1:14">
      <c r="A49" s="2041" t="s">
        <v>583</v>
      </c>
      <c r="C49" s="2043"/>
      <c r="D49" s="2050"/>
      <c r="E49" s="2049">
        <v>0</v>
      </c>
      <c r="F49" s="2049"/>
      <c r="G49" s="2101">
        <v>0</v>
      </c>
      <c r="H49" s="2049"/>
      <c r="I49" s="2049">
        <v>0</v>
      </c>
      <c r="J49" s="2049"/>
      <c r="K49" s="3325">
        <f t="shared" si="2"/>
        <v>0</v>
      </c>
      <c r="M49" s="2822"/>
      <c r="N49" s="2047"/>
    </row>
    <row r="50" spans="1:14">
      <c r="A50" s="2041" t="s">
        <v>1334</v>
      </c>
      <c r="C50" s="2043"/>
      <c r="D50" s="2050"/>
      <c r="E50" s="2049">
        <v>107500</v>
      </c>
      <c r="F50" s="2049"/>
      <c r="G50" s="2101">
        <v>984049</v>
      </c>
      <c r="H50" s="2049"/>
      <c r="I50" s="2049">
        <v>215000</v>
      </c>
      <c r="J50" s="2049"/>
      <c r="K50" s="3325">
        <f t="shared" si="2"/>
        <v>1306549</v>
      </c>
      <c r="M50" s="2821"/>
      <c r="N50" s="2047"/>
    </row>
    <row r="51" spans="1:14">
      <c r="A51" s="2041" t="s">
        <v>584</v>
      </c>
      <c r="C51" s="2043"/>
      <c r="D51" s="2050"/>
      <c r="E51" s="2049">
        <v>19600000</v>
      </c>
      <c r="F51" s="2049"/>
      <c r="G51" s="2101">
        <v>0</v>
      </c>
      <c r="H51" s="2049"/>
      <c r="I51" s="2049">
        <v>0</v>
      </c>
      <c r="J51" s="2049"/>
      <c r="K51" s="3325">
        <f t="shared" si="2"/>
        <v>19600000</v>
      </c>
      <c r="M51" s="2821"/>
      <c r="N51" s="2047"/>
    </row>
    <row r="52" spans="1:14">
      <c r="A52" s="2041" t="s">
        <v>585</v>
      </c>
      <c r="C52" s="2043"/>
      <c r="D52" s="2050"/>
      <c r="E52" s="2049">
        <v>222686</v>
      </c>
      <c r="F52" s="2049"/>
      <c r="G52" s="2101">
        <v>-9540</v>
      </c>
      <c r="H52" s="2049"/>
      <c r="I52" s="2049">
        <v>926304</v>
      </c>
      <c r="J52" s="2049"/>
      <c r="K52" s="3325">
        <f t="shared" si="2"/>
        <v>1139450</v>
      </c>
      <c r="M52" s="2822"/>
      <c r="N52" s="2047"/>
    </row>
    <row r="53" spans="1:14">
      <c r="A53" s="2041" t="s">
        <v>586</v>
      </c>
      <c r="C53" s="2043"/>
      <c r="D53" s="2050"/>
      <c r="E53" s="2049">
        <v>173667</v>
      </c>
      <c r="F53" s="2049"/>
      <c r="G53" s="2101">
        <v>539976</v>
      </c>
      <c r="H53" s="2049"/>
      <c r="I53" s="2049">
        <v>116886</v>
      </c>
      <c r="J53" s="2049"/>
      <c r="K53" s="3325">
        <f t="shared" si="2"/>
        <v>830529</v>
      </c>
      <c r="M53" s="2821"/>
      <c r="N53" s="2047"/>
    </row>
    <row r="54" spans="1:14">
      <c r="A54" s="2041" t="s">
        <v>587</v>
      </c>
      <c r="C54" s="2043"/>
      <c r="D54" s="2050"/>
      <c r="E54" s="2049">
        <v>0</v>
      </c>
      <c r="F54" s="2049"/>
      <c r="G54" s="2101">
        <v>0</v>
      </c>
      <c r="H54" s="2049"/>
      <c r="I54" s="2049">
        <v>0</v>
      </c>
      <c r="J54" s="2049"/>
      <c r="K54" s="3325">
        <f t="shared" si="2"/>
        <v>0</v>
      </c>
      <c r="M54" s="2821"/>
      <c r="N54" s="2047"/>
    </row>
    <row r="55" spans="1:14">
      <c r="A55" s="2041" t="s">
        <v>1338</v>
      </c>
      <c r="C55" s="2043"/>
      <c r="D55" s="2050"/>
      <c r="E55" s="2049">
        <v>161828</v>
      </c>
      <c r="F55" s="2049"/>
      <c r="G55" s="2101">
        <v>0</v>
      </c>
      <c r="H55" s="2049"/>
      <c r="I55" s="2049">
        <v>0</v>
      </c>
      <c r="J55" s="2049"/>
      <c r="K55" s="3325">
        <f t="shared" si="2"/>
        <v>161828</v>
      </c>
      <c r="M55" s="2821"/>
      <c r="N55" s="2047"/>
    </row>
    <row r="56" spans="1:14">
      <c r="A56" s="2041" t="s">
        <v>1622</v>
      </c>
      <c r="C56" s="2043"/>
      <c r="D56" s="2050"/>
      <c r="E56" s="2049">
        <v>0</v>
      </c>
      <c r="F56" s="2049"/>
      <c r="G56" s="2101">
        <v>291674</v>
      </c>
      <c r="H56" s="2049"/>
      <c r="I56" s="2049">
        <v>162057</v>
      </c>
      <c r="J56" s="2049"/>
      <c r="K56" s="3325">
        <f t="shared" si="2"/>
        <v>453731</v>
      </c>
      <c r="M56" s="2821"/>
      <c r="N56" s="2047"/>
    </row>
    <row r="57" spans="1:14">
      <c r="A57" s="2041" t="s">
        <v>588</v>
      </c>
      <c r="C57" s="2043"/>
      <c r="D57" s="2050"/>
      <c r="E57" s="2049">
        <v>0</v>
      </c>
      <c r="F57" s="2049"/>
      <c r="G57" s="2101">
        <v>0</v>
      </c>
      <c r="H57" s="2049"/>
      <c r="I57" s="2049">
        <v>0</v>
      </c>
      <c r="J57" s="2049"/>
      <c r="K57" s="3325">
        <f t="shared" si="2"/>
        <v>0</v>
      </c>
      <c r="M57" s="2821"/>
      <c r="N57" s="2047"/>
    </row>
    <row r="58" spans="1:14">
      <c r="A58" s="2041" t="s">
        <v>589</v>
      </c>
      <c r="C58" s="2043"/>
      <c r="D58" s="2050"/>
      <c r="E58" s="2049">
        <v>0</v>
      </c>
      <c r="F58" s="2049"/>
      <c r="G58" s="2101">
        <v>127400000</v>
      </c>
      <c r="H58" s="2049"/>
      <c r="I58" s="2049">
        <v>0</v>
      </c>
      <c r="J58" s="2049"/>
      <c r="K58" s="3325">
        <f t="shared" si="2"/>
        <v>127400000</v>
      </c>
      <c r="M58" s="2821"/>
      <c r="N58" s="2047"/>
    </row>
    <row r="59" spans="1:14">
      <c r="A59" s="2041" t="s">
        <v>590</v>
      </c>
      <c r="C59" s="2043"/>
      <c r="D59" s="2050"/>
      <c r="E59" s="2049">
        <v>807558</v>
      </c>
      <c r="F59" s="2049"/>
      <c r="G59" s="2101">
        <v>443944</v>
      </c>
      <c r="H59" s="2049"/>
      <c r="I59" s="2049">
        <v>204730</v>
      </c>
      <c r="J59" s="2049"/>
      <c r="K59" s="3325">
        <f t="shared" si="2"/>
        <v>1456232</v>
      </c>
      <c r="M59" s="2822"/>
      <c r="N59" s="2047"/>
    </row>
    <row r="60" spans="1:14">
      <c r="A60" s="2041" t="s">
        <v>591</v>
      </c>
      <c r="C60" s="2043"/>
      <c r="D60" s="2050"/>
      <c r="E60" s="2049">
        <v>1108591</v>
      </c>
      <c r="F60" s="2049"/>
      <c r="G60" s="2101">
        <v>737678</v>
      </c>
      <c r="H60" s="2049"/>
      <c r="I60" s="2049">
        <v>577059</v>
      </c>
      <c r="J60" s="2049"/>
      <c r="K60" s="3325">
        <f t="shared" si="2"/>
        <v>2423328</v>
      </c>
      <c r="M60" s="2822"/>
      <c r="N60" s="2047"/>
    </row>
    <row r="61" spans="1:14">
      <c r="A61" s="2041" t="s">
        <v>592</v>
      </c>
      <c r="C61" s="2043"/>
      <c r="D61" s="2050"/>
      <c r="E61" s="2049">
        <v>0</v>
      </c>
      <c r="F61" s="2049"/>
      <c r="G61" s="2101">
        <v>0</v>
      </c>
      <c r="H61" s="2049"/>
      <c r="I61" s="2049">
        <v>0</v>
      </c>
      <c r="J61" s="2049"/>
      <c r="K61" s="3325">
        <f t="shared" si="2"/>
        <v>0</v>
      </c>
      <c r="M61" s="2822"/>
      <c r="N61" s="2047"/>
    </row>
    <row r="62" spans="1:14">
      <c r="A62" s="2041" t="s">
        <v>593</v>
      </c>
      <c r="C62" s="2043"/>
      <c r="D62" s="2050"/>
      <c r="E62" s="2049">
        <v>0</v>
      </c>
      <c r="F62" s="2049"/>
      <c r="G62" s="2101">
        <v>0</v>
      </c>
      <c r="H62" s="2049"/>
      <c r="I62" s="2049">
        <v>0</v>
      </c>
      <c r="J62" s="2049"/>
      <c r="K62" s="3325">
        <f t="shared" si="2"/>
        <v>0</v>
      </c>
      <c r="M62" s="2821"/>
      <c r="N62" s="2047"/>
    </row>
    <row r="63" spans="1:14">
      <c r="A63" s="2041" t="s">
        <v>594</v>
      </c>
      <c r="C63" s="2043"/>
      <c r="D63" s="2050"/>
      <c r="E63" s="2049">
        <v>449517</v>
      </c>
      <c r="F63" s="2049"/>
      <c r="G63" s="2101">
        <v>212456</v>
      </c>
      <c r="H63" s="2049"/>
      <c r="I63" s="2049">
        <v>211215</v>
      </c>
      <c r="J63" s="2049"/>
      <c r="K63" s="3325">
        <f t="shared" si="2"/>
        <v>873188</v>
      </c>
      <c r="M63" s="2821"/>
      <c r="N63" s="2047"/>
    </row>
    <row r="64" spans="1:14">
      <c r="A64" s="2041" t="s">
        <v>595</v>
      </c>
      <c r="C64" s="2043"/>
      <c r="D64" s="2050"/>
      <c r="E64" s="2049">
        <v>24150000</v>
      </c>
      <c r="F64" s="2049"/>
      <c r="G64" s="2101">
        <v>24151342</v>
      </c>
      <c r="H64" s="2049"/>
      <c r="I64" s="2049">
        <v>0</v>
      </c>
      <c r="J64" s="2049"/>
      <c r="K64" s="3325">
        <f t="shared" si="2"/>
        <v>48301342</v>
      </c>
      <c r="M64" s="2822"/>
      <c r="N64" s="2047"/>
    </row>
    <row r="65" spans="1:14">
      <c r="A65" s="2041" t="s">
        <v>596</v>
      </c>
      <c r="C65" s="2043"/>
      <c r="D65" s="2050"/>
      <c r="E65" s="2049">
        <v>1500000</v>
      </c>
      <c r="F65" s="2049"/>
      <c r="G65" s="2101">
        <v>1500083</v>
      </c>
      <c r="H65" s="2049"/>
      <c r="I65" s="2049">
        <v>0</v>
      </c>
      <c r="J65" s="2049"/>
      <c r="K65" s="3325">
        <f t="shared" si="2"/>
        <v>3000083</v>
      </c>
      <c r="M65" s="2822"/>
      <c r="N65" s="2047"/>
    </row>
    <row r="66" spans="1:14">
      <c r="A66" s="2041" t="s">
        <v>597</v>
      </c>
      <c r="C66" s="2043"/>
      <c r="D66" s="2050"/>
      <c r="E66" s="2049">
        <v>2562653</v>
      </c>
      <c r="F66" s="2049"/>
      <c r="G66" s="2101">
        <v>728874</v>
      </c>
      <c r="H66" s="2049"/>
      <c r="I66" s="2049">
        <v>923921</v>
      </c>
      <c r="J66" s="2049"/>
      <c r="K66" s="3325">
        <f t="shared" si="2"/>
        <v>4215448</v>
      </c>
      <c r="M66" s="2821"/>
      <c r="N66" s="2047"/>
    </row>
    <row r="67" spans="1:14">
      <c r="A67" s="2041" t="s">
        <v>598</v>
      </c>
      <c r="C67" s="2043"/>
      <c r="D67" s="2050"/>
      <c r="E67" s="2049">
        <v>2068837</v>
      </c>
      <c r="F67" s="2049"/>
      <c r="G67" s="2101">
        <v>1432945</v>
      </c>
      <c r="H67" s="2049"/>
      <c r="I67" s="2049">
        <v>276492</v>
      </c>
      <c r="J67" s="2049"/>
      <c r="K67" s="3325">
        <f t="shared" si="2"/>
        <v>3778274</v>
      </c>
      <c r="M67" s="2821"/>
      <c r="N67" s="2047"/>
    </row>
    <row r="68" spans="1:14">
      <c r="A68" s="2041" t="s">
        <v>599</v>
      </c>
      <c r="C68" s="2043"/>
      <c r="D68" s="2050"/>
      <c r="E68" s="2049">
        <v>0</v>
      </c>
      <c r="F68" s="2049"/>
      <c r="G68" s="2101">
        <v>-24</v>
      </c>
      <c r="H68" s="2049"/>
      <c r="I68" s="2049">
        <v>0</v>
      </c>
      <c r="J68" s="2049"/>
      <c r="K68" s="3325">
        <f t="shared" si="2"/>
        <v>-24</v>
      </c>
      <c r="M68" s="2821"/>
      <c r="N68" s="2047"/>
    </row>
    <row r="69" spans="1:14">
      <c r="A69" s="2041" t="s">
        <v>600</v>
      </c>
      <c r="C69" s="2043"/>
      <c r="D69" s="2050"/>
      <c r="E69" s="2049">
        <v>0</v>
      </c>
      <c r="F69" s="2049"/>
      <c r="G69" s="2101">
        <v>0</v>
      </c>
      <c r="H69" s="2049"/>
      <c r="I69" s="2049">
        <v>0</v>
      </c>
      <c r="J69" s="2049"/>
      <c r="K69" s="3325">
        <f t="shared" si="2"/>
        <v>0</v>
      </c>
      <c r="M69" s="2821"/>
      <c r="N69" s="2047"/>
    </row>
    <row r="70" spans="1:14">
      <c r="A70" s="2041" t="s">
        <v>601</v>
      </c>
      <c r="C70" s="2043"/>
      <c r="D70" s="2050"/>
      <c r="E70" s="2049">
        <v>0</v>
      </c>
      <c r="F70" s="2049"/>
      <c r="G70" s="2101">
        <v>0</v>
      </c>
      <c r="H70" s="2049"/>
      <c r="I70" s="2049">
        <v>0</v>
      </c>
      <c r="J70" s="2049"/>
      <c r="K70" s="3325">
        <f t="shared" si="2"/>
        <v>0</v>
      </c>
      <c r="M70" s="2822"/>
      <c r="N70" s="2047"/>
    </row>
    <row r="71" spans="1:14">
      <c r="A71" s="2041" t="s">
        <v>1225</v>
      </c>
      <c r="C71" s="2043"/>
      <c r="D71" s="2050"/>
      <c r="E71" s="2049">
        <v>0</v>
      </c>
      <c r="F71" s="2049"/>
      <c r="G71" s="2101">
        <v>0</v>
      </c>
      <c r="H71" s="2049"/>
      <c r="I71" s="2049">
        <v>0</v>
      </c>
      <c r="J71" s="2049"/>
      <c r="K71" s="3325">
        <f t="shared" si="2"/>
        <v>0</v>
      </c>
      <c r="M71" s="2821"/>
      <c r="N71" s="2047"/>
    </row>
    <row r="72" spans="1:14" ht="15">
      <c r="A72" s="2093" t="s">
        <v>602</v>
      </c>
      <c r="B72" s="2114"/>
      <c r="C72" s="2113">
        <v>17588193000</v>
      </c>
      <c r="D72" s="2115"/>
      <c r="E72" s="2049"/>
      <c r="F72" s="2116"/>
      <c r="G72" s="2101"/>
      <c r="H72" s="2116"/>
      <c r="I72" s="2116"/>
      <c r="J72" s="2116"/>
      <c r="K72" s="3325"/>
      <c r="M72" s="2823"/>
      <c r="N72" s="2824"/>
    </row>
    <row r="73" spans="1:14" ht="15">
      <c r="A73" s="2041" t="s">
        <v>1335</v>
      </c>
      <c r="B73" s="2045"/>
      <c r="C73" s="2042"/>
      <c r="D73" s="2050"/>
      <c r="E73" s="2049">
        <v>2100000</v>
      </c>
      <c r="F73" s="2101"/>
      <c r="G73" s="2101">
        <v>0</v>
      </c>
      <c r="H73" s="2101"/>
      <c r="I73" s="2101">
        <v>0</v>
      </c>
      <c r="K73" s="3325">
        <f t="shared" ref="K73:K86" si="3">ROUND(SUM(E73)+G73+I73,0)</f>
        <v>2100000</v>
      </c>
      <c r="M73" s="2823"/>
      <c r="N73" s="2824"/>
    </row>
    <row r="74" spans="1:14" ht="15">
      <c r="A74" s="2041" t="s">
        <v>603</v>
      </c>
      <c r="B74" s="2045"/>
      <c r="C74" s="2042"/>
      <c r="D74" s="2051"/>
      <c r="E74" s="2049">
        <v>23500000</v>
      </c>
      <c r="F74" s="2101"/>
      <c r="G74" s="2101">
        <v>0</v>
      </c>
      <c r="H74" s="2101"/>
      <c r="I74" s="2101">
        <v>0</v>
      </c>
      <c r="J74" s="2042"/>
      <c r="K74" s="3325">
        <f t="shared" si="3"/>
        <v>23500000</v>
      </c>
      <c r="M74" s="1747"/>
      <c r="N74" s="2047"/>
    </row>
    <row r="75" spans="1:14" ht="15">
      <c r="A75" s="2041" t="s">
        <v>604</v>
      </c>
      <c r="B75" s="2045"/>
      <c r="C75" s="2042"/>
      <c r="D75" s="2051"/>
      <c r="E75" s="2049">
        <v>310595000</v>
      </c>
      <c r="F75" s="2101"/>
      <c r="G75" s="2101">
        <v>0</v>
      </c>
      <c r="H75" s="2101"/>
      <c r="I75" s="2101">
        <v>0</v>
      </c>
      <c r="J75" s="2042"/>
      <c r="K75" s="3325">
        <f t="shared" si="3"/>
        <v>310595000</v>
      </c>
      <c r="M75" s="1747"/>
      <c r="N75" s="2047"/>
    </row>
    <row r="76" spans="1:14" ht="15">
      <c r="A76" s="2041" t="s">
        <v>605</v>
      </c>
      <c r="B76" s="2117"/>
      <c r="C76" s="2042"/>
      <c r="D76" s="2051"/>
      <c r="E76" s="2049">
        <v>0</v>
      </c>
      <c r="F76" s="2101"/>
      <c r="G76" s="2101">
        <v>0</v>
      </c>
      <c r="H76" s="2101"/>
      <c r="I76" s="2101">
        <v>0</v>
      </c>
      <c r="J76" s="2042"/>
      <c r="K76" s="3325">
        <f t="shared" si="3"/>
        <v>0</v>
      </c>
      <c r="M76" s="1747"/>
      <c r="N76" s="2047"/>
    </row>
    <row r="77" spans="1:14" ht="15">
      <c r="A77" s="2052" t="s">
        <v>606</v>
      </c>
      <c r="B77" s="2118"/>
      <c r="C77" s="2042"/>
      <c r="D77" s="2051"/>
      <c r="E77" s="2049">
        <v>0</v>
      </c>
      <c r="F77" s="2101"/>
      <c r="G77" s="2101">
        <v>0</v>
      </c>
      <c r="H77" s="2101"/>
      <c r="I77" s="2101">
        <v>0</v>
      </c>
      <c r="J77" s="2042"/>
      <c r="K77" s="3325">
        <f t="shared" si="3"/>
        <v>0</v>
      </c>
      <c r="M77" s="1747"/>
      <c r="N77" s="2047"/>
    </row>
    <row r="78" spans="1:14" ht="15">
      <c r="A78" s="2041" t="s">
        <v>607</v>
      </c>
      <c r="B78" s="2045"/>
      <c r="C78" s="2042"/>
      <c r="D78" s="2050"/>
      <c r="E78" s="2049">
        <v>458700000</v>
      </c>
      <c r="F78" s="2049"/>
      <c r="G78" s="2101">
        <v>673761064</v>
      </c>
      <c r="H78" s="2049"/>
      <c r="I78" s="2049">
        <v>0</v>
      </c>
      <c r="K78" s="3325">
        <f t="shared" si="3"/>
        <v>1132461064</v>
      </c>
      <c r="M78" s="1747"/>
      <c r="N78" s="2047"/>
    </row>
    <row r="79" spans="1:14" ht="15">
      <c r="A79" s="2053" t="s">
        <v>608</v>
      </c>
      <c r="B79" s="2119"/>
      <c r="C79" s="2042"/>
      <c r="D79" s="2120"/>
      <c r="E79" s="2049">
        <v>191680204</v>
      </c>
      <c r="F79" s="2101"/>
      <c r="G79" s="2101">
        <v>234046648</v>
      </c>
      <c r="H79" s="2101"/>
      <c r="I79" s="2101">
        <v>61110218</v>
      </c>
      <c r="K79" s="3325">
        <f t="shared" si="3"/>
        <v>486837070</v>
      </c>
      <c r="M79" s="1747"/>
      <c r="N79" s="2047"/>
    </row>
    <row r="80" spans="1:14" ht="15">
      <c r="A80" s="2041" t="s">
        <v>609</v>
      </c>
      <c r="B80" s="2121"/>
      <c r="C80" s="2048"/>
      <c r="D80" s="2097"/>
      <c r="E80" s="2049">
        <v>0</v>
      </c>
      <c r="F80" s="2101"/>
      <c r="G80" s="2101">
        <v>206238935</v>
      </c>
      <c r="H80" s="2101"/>
      <c r="I80" s="2101">
        <v>345000000</v>
      </c>
      <c r="J80" s="2122"/>
      <c r="K80" s="3325">
        <f t="shared" si="3"/>
        <v>551238935</v>
      </c>
      <c r="M80" s="2820"/>
      <c r="N80" s="2047"/>
    </row>
    <row r="81" spans="1:14" ht="15">
      <c r="A81" s="2041" t="s">
        <v>610</v>
      </c>
      <c r="B81" s="2123"/>
      <c r="C81" s="2048"/>
      <c r="D81" s="2124"/>
      <c r="E81" s="2049">
        <v>0</v>
      </c>
      <c r="F81" s="2101"/>
      <c r="G81" s="2101">
        <v>0</v>
      </c>
      <c r="H81" s="2101"/>
      <c r="I81" s="2101">
        <v>0</v>
      </c>
      <c r="J81" s="2101"/>
      <c r="K81" s="3325">
        <f t="shared" si="3"/>
        <v>0</v>
      </c>
      <c r="M81" s="2825"/>
      <c r="N81" s="2047"/>
    </row>
    <row r="82" spans="1:14" ht="15">
      <c r="A82" s="2041" t="s">
        <v>611</v>
      </c>
      <c r="B82" s="2123"/>
      <c r="C82" s="2048"/>
      <c r="D82" s="2124"/>
      <c r="E82" s="2049">
        <v>0</v>
      </c>
      <c r="F82" s="2101"/>
      <c r="G82" s="2101">
        <v>0</v>
      </c>
      <c r="H82" s="2101"/>
      <c r="I82" s="2101">
        <v>0</v>
      </c>
      <c r="J82" s="2101"/>
      <c r="K82" s="3325">
        <f t="shared" si="3"/>
        <v>0</v>
      </c>
      <c r="M82" s="2825"/>
      <c r="N82" s="2047"/>
    </row>
    <row r="83" spans="1:14" ht="15">
      <c r="A83" s="2041" t="s">
        <v>612</v>
      </c>
      <c r="B83" s="2123"/>
      <c r="C83" s="2048"/>
      <c r="D83" s="2124"/>
      <c r="E83" s="2049">
        <v>0</v>
      </c>
      <c r="F83" s="2101"/>
      <c r="G83" s="2101">
        <v>0</v>
      </c>
      <c r="H83" s="2101"/>
      <c r="I83" s="2101">
        <v>0</v>
      </c>
      <c r="J83" s="2101"/>
      <c r="K83" s="3325">
        <f t="shared" si="3"/>
        <v>0</v>
      </c>
      <c r="M83" s="2825"/>
      <c r="N83" s="2047"/>
    </row>
    <row r="84" spans="1:14" ht="15">
      <c r="A84" s="2041" t="s">
        <v>1227</v>
      </c>
      <c r="B84" s="2123"/>
      <c r="C84" s="2048"/>
      <c r="D84" s="2124"/>
      <c r="E84" s="2049">
        <v>0</v>
      </c>
      <c r="F84" s="2101"/>
      <c r="G84" s="2101">
        <v>0</v>
      </c>
      <c r="H84" s="2101"/>
      <c r="I84" s="2101">
        <v>0</v>
      </c>
      <c r="J84" s="2101"/>
      <c r="K84" s="3325">
        <f t="shared" si="3"/>
        <v>0</v>
      </c>
      <c r="M84" s="2820"/>
      <c r="N84" s="2047"/>
    </row>
    <row r="85" spans="1:14" ht="15">
      <c r="A85" s="2041" t="s">
        <v>1226</v>
      </c>
      <c r="B85" s="2123"/>
      <c r="C85" s="2048"/>
      <c r="D85" s="2124"/>
      <c r="E85" s="2049">
        <v>0</v>
      </c>
      <c r="F85" s="2101"/>
      <c r="G85" s="2101">
        <v>0</v>
      </c>
      <c r="H85" s="2101"/>
      <c r="I85" s="2101">
        <v>0</v>
      </c>
      <c r="J85" s="2101"/>
      <c r="K85" s="3325">
        <f t="shared" si="3"/>
        <v>0</v>
      </c>
      <c r="M85" s="2820"/>
      <c r="N85" s="2047"/>
    </row>
    <row r="86" spans="1:14" ht="15">
      <c r="A86" s="2041" t="s">
        <v>613</v>
      </c>
      <c r="B86" s="2123"/>
      <c r="C86" s="2048"/>
      <c r="D86" s="2124"/>
      <c r="E86" s="2049">
        <v>0</v>
      </c>
      <c r="F86" s="2101"/>
      <c r="G86" s="2101">
        <v>0</v>
      </c>
      <c r="H86" s="2101"/>
      <c r="I86" s="2101">
        <v>0</v>
      </c>
      <c r="J86" s="2049"/>
      <c r="K86" s="3325">
        <f t="shared" si="3"/>
        <v>0</v>
      </c>
      <c r="M86" s="2825"/>
      <c r="N86" s="2047"/>
    </row>
    <row r="87" spans="1:14" ht="15">
      <c r="A87" s="2093" t="s">
        <v>614</v>
      </c>
      <c r="B87" s="2125"/>
      <c r="C87" s="2103">
        <v>9661600</v>
      </c>
      <c r="D87" s="2126"/>
      <c r="E87" s="2049"/>
      <c r="F87" s="2049"/>
      <c r="G87" s="2101"/>
      <c r="H87" s="2049"/>
      <c r="I87" s="2049"/>
      <c r="J87" s="2054"/>
      <c r="K87" s="3325"/>
      <c r="M87" s="2825"/>
      <c r="N87" s="2047"/>
    </row>
    <row r="88" spans="1:14" ht="15">
      <c r="A88" s="2041" t="s">
        <v>615</v>
      </c>
      <c r="B88" s="2127"/>
      <c r="C88" s="2048"/>
      <c r="D88" s="2126"/>
      <c r="E88" s="2049">
        <v>327377</v>
      </c>
      <c r="F88" s="2049"/>
      <c r="G88" s="2101">
        <v>791790</v>
      </c>
      <c r="H88" s="2049"/>
      <c r="I88" s="2049">
        <v>122313</v>
      </c>
      <c r="J88" s="2054"/>
      <c r="K88" s="3325">
        <f>ROUND(SUM(E88)+G88+I88,0)</f>
        <v>1241480</v>
      </c>
      <c r="M88" s="2820"/>
      <c r="N88" s="2047"/>
    </row>
    <row r="89" spans="1:14">
      <c r="A89" s="2093" t="s">
        <v>616</v>
      </c>
      <c r="B89" s="2128"/>
      <c r="C89" s="2103">
        <v>51651100</v>
      </c>
      <c r="D89" s="2050"/>
      <c r="E89" s="2049"/>
      <c r="F89" s="2122"/>
      <c r="G89" s="2101"/>
      <c r="H89" s="2122"/>
      <c r="I89" s="2122"/>
      <c r="J89" s="2054"/>
      <c r="K89" s="3325"/>
      <c r="M89" s="2826"/>
      <c r="N89" s="2047"/>
    </row>
    <row r="90" spans="1:14">
      <c r="A90" s="2041" t="s">
        <v>617</v>
      </c>
      <c r="B90" s="2055"/>
      <c r="C90" s="2048"/>
      <c r="D90" s="2050"/>
      <c r="E90" s="2049">
        <v>3602862</v>
      </c>
      <c r="F90" s="2122"/>
      <c r="G90" s="2101">
        <v>5293399</v>
      </c>
      <c r="H90" s="2122"/>
      <c r="I90" s="2122">
        <v>1134688</v>
      </c>
      <c r="J90" s="2054"/>
      <c r="K90" s="3325">
        <f>ROUND(SUM(E90)+G90+I90,0)</f>
        <v>10030949</v>
      </c>
      <c r="M90" s="2826"/>
      <c r="N90" s="2047"/>
    </row>
    <row r="91" spans="1:14">
      <c r="A91" s="2093" t="s">
        <v>618</v>
      </c>
      <c r="B91" s="2129"/>
      <c r="C91" s="2103">
        <v>15528213</v>
      </c>
      <c r="D91" s="2056"/>
      <c r="E91" s="2049"/>
      <c r="F91" s="2101"/>
      <c r="G91" s="2101"/>
      <c r="H91" s="2101"/>
      <c r="I91" s="2101"/>
      <c r="J91" s="2054"/>
      <c r="K91" s="3325"/>
      <c r="M91" s="2827"/>
      <c r="N91" s="2047"/>
    </row>
    <row r="92" spans="1:14">
      <c r="A92" s="2041" t="s">
        <v>619</v>
      </c>
      <c r="B92" s="2057"/>
      <c r="C92" s="2042"/>
      <c r="D92" s="2056"/>
      <c r="E92" s="2049">
        <v>0</v>
      </c>
      <c r="F92" s="2101"/>
      <c r="G92" s="2101">
        <v>0</v>
      </c>
      <c r="H92" s="2101"/>
      <c r="I92" s="2101">
        <v>0</v>
      </c>
      <c r="J92" s="2054"/>
      <c r="K92" s="3325">
        <f>ROUND(SUM(E92)+G92+I92,0)</f>
        <v>0</v>
      </c>
      <c r="M92" s="2827"/>
      <c r="N92" s="2047"/>
    </row>
    <row r="93" spans="1:14">
      <c r="A93" s="2041" t="s">
        <v>620</v>
      </c>
      <c r="B93" s="2057"/>
      <c r="C93" s="2042"/>
      <c r="D93" s="2056"/>
      <c r="E93" s="2049">
        <v>0</v>
      </c>
      <c r="F93" s="2101"/>
      <c r="G93" s="2101">
        <v>0</v>
      </c>
      <c r="H93" s="2101"/>
      <c r="I93" s="2101">
        <v>0</v>
      </c>
      <c r="J93" s="2054"/>
      <c r="K93" s="3325">
        <f>ROUND(SUM(E93)+G93+I93,0)</f>
        <v>0</v>
      </c>
      <c r="M93" s="2827"/>
      <c r="N93" s="2047"/>
    </row>
    <row r="94" spans="1:14">
      <c r="A94" s="2041" t="s">
        <v>621</v>
      </c>
      <c r="B94" s="2057"/>
      <c r="C94" s="2042"/>
      <c r="D94" s="2056"/>
      <c r="E94" s="2049">
        <v>0</v>
      </c>
      <c r="F94" s="2101"/>
      <c r="G94" s="2101">
        <v>0</v>
      </c>
      <c r="H94" s="2101"/>
      <c r="I94" s="2101">
        <v>0</v>
      </c>
      <c r="J94" s="2054"/>
      <c r="K94" s="3325">
        <f>ROUND(SUM(E94)+G94+I94,0)</f>
        <v>0</v>
      </c>
      <c r="M94" s="2827"/>
      <c r="N94" s="2047"/>
    </row>
    <row r="95" spans="1:14">
      <c r="A95" s="2041" t="s">
        <v>622</v>
      </c>
      <c r="B95" s="2053"/>
      <c r="C95" s="2042"/>
      <c r="D95" s="2051"/>
      <c r="E95" s="2049">
        <v>0</v>
      </c>
      <c r="F95" s="2101"/>
      <c r="G95" s="2101">
        <v>0</v>
      </c>
      <c r="H95" s="2101"/>
      <c r="I95" s="2101">
        <v>0</v>
      </c>
      <c r="J95" s="2049"/>
      <c r="K95" s="3325">
        <f>ROUND(SUM(E95)+G95+I95,0)</f>
        <v>0</v>
      </c>
      <c r="M95" s="2827"/>
      <c r="N95" s="2047"/>
    </row>
    <row r="96" spans="1:14">
      <c r="A96" s="2130" t="s">
        <v>59</v>
      </c>
      <c r="B96" s="2131"/>
      <c r="C96" s="2132">
        <f>ROUND(SUM(C9:C95),0)</f>
        <v>21113482579</v>
      </c>
      <c r="D96" s="2133"/>
      <c r="E96" s="2134">
        <f t="shared" ref="E96:I96" si="4">ROUND(SUM(E9:E95),0)</f>
        <v>1135194419</v>
      </c>
      <c r="F96" s="2134"/>
      <c r="G96" s="2134">
        <f t="shared" si="4"/>
        <v>1457592996</v>
      </c>
      <c r="H96" s="2134"/>
      <c r="I96" s="2134">
        <f t="shared" si="4"/>
        <v>509431045</v>
      </c>
      <c r="J96" s="3326"/>
      <c r="K96" s="2134">
        <f>ROUND(SUM(K9:K95),0)</f>
        <v>3102218460</v>
      </c>
      <c r="M96" s="2828"/>
      <c r="N96" s="2046"/>
    </row>
    <row r="97" spans="1:19" s="2084" customFormat="1" ht="25.5">
      <c r="A97" s="2058" t="s">
        <v>623</v>
      </c>
      <c r="B97" s="2135"/>
      <c r="C97" s="2136">
        <v>89000</v>
      </c>
      <c r="D97" s="2137"/>
      <c r="E97" s="2122"/>
      <c r="F97" s="2122"/>
      <c r="G97" s="2122"/>
      <c r="H97" s="2122"/>
      <c r="I97" s="2122"/>
      <c r="J97" s="2122"/>
      <c r="K97" s="3327"/>
      <c r="M97" s="2062"/>
      <c r="N97" s="2046"/>
      <c r="O97" s="1176"/>
      <c r="P97" s="1176"/>
      <c r="Q97" s="2818"/>
      <c r="R97" s="2818"/>
      <c r="S97" s="1176"/>
    </row>
    <row r="98" spans="1:19" s="2084" customFormat="1">
      <c r="A98" s="2059" t="s">
        <v>624</v>
      </c>
      <c r="B98" s="2135"/>
      <c r="C98" s="2138"/>
      <c r="D98" s="2137"/>
      <c r="E98" s="2136">
        <v>-2057682</v>
      </c>
      <c r="F98" s="2136"/>
      <c r="G98" s="2122">
        <v>-2334461</v>
      </c>
      <c r="H98" s="2122"/>
      <c r="I98" s="2122">
        <v>-861171</v>
      </c>
      <c r="J98" s="2122"/>
      <c r="K98" s="3328">
        <f>ROUND(SUM(E98)+G98+I98,0)</f>
        <v>-5253314</v>
      </c>
      <c r="M98" s="2062"/>
      <c r="N98" s="2046"/>
      <c r="O98" s="1176"/>
      <c r="P98" s="1176"/>
      <c r="Q98" s="2818"/>
      <c r="R98" s="2818"/>
      <c r="S98" s="1176"/>
    </row>
    <row r="99" spans="1:19" s="2084" customFormat="1">
      <c r="A99" s="2059" t="s">
        <v>625</v>
      </c>
      <c r="B99" s="2139"/>
      <c r="C99" s="2136"/>
      <c r="D99" s="2140"/>
      <c r="E99" s="2136">
        <v>-2026</v>
      </c>
      <c r="F99" s="2136"/>
      <c r="G99" s="2136">
        <v>2051</v>
      </c>
      <c r="H99" s="2136"/>
      <c r="I99" s="2136">
        <v>-44</v>
      </c>
      <c r="J99" s="2101"/>
      <c r="K99" s="3328">
        <f>ROUND(SUM(E99)+G99+I99,0)</f>
        <v>-19</v>
      </c>
      <c r="L99" s="2819"/>
      <c r="M99" s="2829"/>
      <c r="N99" s="2046"/>
      <c r="O99" s="1176"/>
      <c r="P99" s="1176"/>
      <c r="Q99" s="2818"/>
      <c r="R99" s="2818"/>
      <c r="S99" s="1176"/>
    </row>
    <row r="100" spans="1:19" s="2084" customFormat="1" ht="13.5" thickBot="1">
      <c r="A100" s="2130" t="s">
        <v>626</v>
      </c>
      <c r="B100" s="2114"/>
      <c r="C100" s="3218">
        <f>ROUND(SUM(C96:C99),0)</f>
        <v>21113571579</v>
      </c>
      <c r="D100" s="2141"/>
      <c r="E100" s="3219">
        <f t="shared" ref="E100" si="5">ROUND(SUM(E96:E99),0)</f>
        <v>1133134711</v>
      </c>
      <c r="F100" s="2142"/>
      <c r="G100" s="3219">
        <f t="shared" ref="G100:I100" si="6">ROUND(SUM(G96:G99),0)</f>
        <v>1455260586</v>
      </c>
      <c r="H100" s="2142"/>
      <c r="I100" s="3219">
        <f t="shared" si="6"/>
        <v>508569830</v>
      </c>
      <c r="J100" s="2109"/>
      <c r="K100" s="3219">
        <f>ROUND(SUM(K96:K99),0)</f>
        <v>3096965127</v>
      </c>
      <c r="L100" s="2819"/>
      <c r="M100" s="2829"/>
      <c r="N100" s="2046"/>
      <c r="O100" s="1176"/>
      <c r="P100" s="1176"/>
      <c r="Q100" s="2818"/>
      <c r="R100" s="2818"/>
      <c r="S100" s="1176"/>
    </row>
    <row r="101" spans="1:19" ht="13.5" thickTop="1">
      <c r="A101" s="2143"/>
      <c r="B101" s="2060"/>
      <c r="C101" s="2061"/>
      <c r="D101" s="2062"/>
      <c r="E101" s="2054"/>
      <c r="F101" s="2054"/>
      <c r="G101" s="2054"/>
      <c r="H101" s="2054"/>
      <c r="I101" s="2054"/>
      <c r="J101" s="2054"/>
      <c r="K101" s="3329"/>
      <c r="L101" s="2073"/>
      <c r="M101" s="2829"/>
      <c r="N101" s="2046"/>
    </row>
    <row r="102" spans="1:19">
      <c r="A102" s="2064" t="s">
        <v>1277</v>
      </c>
      <c r="B102" s="2060"/>
      <c r="C102" s="2060"/>
      <c r="D102" s="2062"/>
      <c r="E102" s="2054"/>
      <c r="F102" s="2054"/>
      <c r="G102" s="2054"/>
      <c r="H102" s="2054"/>
      <c r="I102" s="2054"/>
      <c r="J102" s="2054"/>
      <c r="K102" s="3329"/>
      <c r="L102" s="2073"/>
      <c r="M102" s="2829"/>
      <c r="N102" s="2046"/>
    </row>
    <row r="103" spans="1:19">
      <c r="A103" s="2064" t="s">
        <v>1321</v>
      </c>
      <c r="B103" s="2060"/>
      <c r="C103" s="2060"/>
      <c r="D103" s="2062"/>
      <c r="E103" s="2054"/>
      <c r="F103" s="2054"/>
      <c r="G103" s="2054"/>
      <c r="H103" s="2054"/>
      <c r="I103" s="2054"/>
      <c r="J103" s="2054"/>
      <c r="K103" s="3329"/>
      <c r="L103" s="2073"/>
      <c r="M103" s="2829"/>
      <c r="N103" s="2046"/>
    </row>
    <row r="104" spans="1:19">
      <c r="A104" s="2065" t="s">
        <v>1278</v>
      </c>
      <c r="B104" s="2066"/>
      <c r="C104" s="2067"/>
      <c r="D104" s="2046"/>
      <c r="E104" s="2054"/>
      <c r="F104" s="2054"/>
      <c r="G104" s="2054"/>
      <c r="H104" s="2054"/>
      <c r="I104" s="2054"/>
      <c r="J104" s="2054"/>
      <c r="K104" s="3330"/>
      <c r="M104" s="2046"/>
      <c r="N104" s="2046"/>
    </row>
    <row r="105" spans="1:19">
      <c r="A105" s="2144" t="s">
        <v>1279</v>
      </c>
      <c r="B105" s="2062"/>
      <c r="C105" s="2062"/>
      <c r="D105" s="2057"/>
      <c r="E105" s="2042"/>
      <c r="F105" s="2042"/>
      <c r="G105" s="2042"/>
      <c r="H105" s="2042"/>
      <c r="I105" s="2042"/>
      <c r="J105" s="2042"/>
      <c r="K105" s="3320"/>
    </row>
    <row r="106" spans="1:19">
      <c r="A106" s="2144" t="s">
        <v>1280</v>
      </c>
      <c r="B106" s="2069"/>
      <c r="C106" s="2070"/>
      <c r="D106" s="2071"/>
      <c r="E106" s="2042"/>
      <c r="F106" s="2042"/>
      <c r="G106" s="2042"/>
      <c r="H106" s="2042"/>
      <c r="I106" s="2042"/>
      <c r="J106" s="2042"/>
      <c r="K106" s="3328"/>
    </row>
    <row r="107" spans="1:19">
      <c r="B107" s="2069"/>
      <c r="C107" s="2072"/>
      <c r="D107" s="2071"/>
      <c r="E107" s="2063"/>
      <c r="F107" s="2063"/>
      <c r="G107" s="2063"/>
      <c r="H107" s="2063"/>
      <c r="I107" s="2063"/>
      <c r="J107" s="2063"/>
      <c r="K107" s="2063"/>
    </row>
    <row r="108" spans="1:19">
      <c r="B108" s="2145"/>
      <c r="C108" s="2146"/>
      <c r="D108" s="2147"/>
      <c r="E108" s="2147"/>
      <c r="F108" s="2147"/>
      <c r="G108" s="2147"/>
      <c r="H108" s="2147"/>
      <c r="I108" s="2147"/>
      <c r="J108" s="2147"/>
      <c r="K108" s="2147"/>
    </row>
    <row r="109" spans="1:19">
      <c r="B109" s="2148"/>
      <c r="C109" s="2149"/>
      <c r="D109" s="2073"/>
      <c r="E109" s="2068"/>
      <c r="F109" s="2068"/>
      <c r="G109" s="2068"/>
      <c r="H109" s="2068"/>
      <c r="I109" s="2068"/>
      <c r="J109" s="2068"/>
      <c r="K109" s="2068"/>
    </row>
    <row r="110" spans="1:19">
      <c r="B110" s="2148"/>
      <c r="C110" s="2149"/>
      <c r="D110" s="2073"/>
      <c r="E110" s="2068"/>
      <c r="F110" s="2068"/>
      <c r="G110" s="2068"/>
      <c r="H110" s="2068"/>
      <c r="I110" s="2068"/>
      <c r="J110" s="2068"/>
      <c r="K110" s="2068"/>
    </row>
    <row r="111" spans="1:19">
      <c r="A111" s="2053"/>
      <c r="B111" s="2062"/>
      <c r="C111" s="2062"/>
      <c r="M111" s="2830"/>
    </row>
    <row r="112" spans="1:19">
      <c r="A112" s="2053"/>
      <c r="B112" s="2062"/>
      <c r="C112" s="2062"/>
    </row>
    <row r="114" spans="1:11">
      <c r="A114" s="2062"/>
      <c r="B114" s="2074"/>
      <c r="C114" s="2074"/>
      <c r="D114" s="2074"/>
      <c r="E114" s="2044"/>
      <c r="F114" s="2044"/>
      <c r="G114" s="2044"/>
      <c r="H114" s="2044"/>
      <c r="I114" s="2044"/>
      <c r="J114" s="2044"/>
      <c r="K114" s="2044"/>
    </row>
    <row r="115" spans="1:11" ht="12.75" customHeight="1">
      <c r="A115" s="2062"/>
      <c r="B115" s="2074"/>
      <c r="C115" s="2074"/>
      <c r="D115" s="2074"/>
      <c r="E115" s="2044"/>
      <c r="F115" s="2044"/>
      <c r="G115" s="2044"/>
      <c r="H115" s="2044"/>
      <c r="I115" s="2044"/>
      <c r="J115" s="2044"/>
      <c r="K115" s="2044"/>
    </row>
    <row r="116" spans="1:11" ht="12.75" customHeight="1">
      <c r="A116" s="2062"/>
      <c r="B116" s="2074"/>
      <c r="C116" s="2074"/>
      <c r="D116" s="2074"/>
      <c r="E116" s="2044"/>
      <c r="F116" s="2044"/>
      <c r="G116" s="2044"/>
      <c r="H116" s="2044"/>
      <c r="I116" s="2044"/>
      <c r="J116" s="2044"/>
      <c r="K116" s="2044"/>
    </row>
    <row r="117" spans="1:11" ht="12.75" customHeight="1">
      <c r="A117" s="2062"/>
      <c r="B117" s="2074"/>
      <c r="C117" s="2074"/>
      <c r="D117" s="2074"/>
      <c r="E117" s="2044"/>
      <c r="F117" s="2044"/>
      <c r="G117" s="2044"/>
      <c r="H117" s="2044"/>
      <c r="I117" s="2044"/>
      <c r="J117" s="2044"/>
      <c r="K117" s="2044"/>
    </row>
    <row r="118" spans="1:11">
      <c r="A118" s="2062"/>
      <c r="B118" s="2074"/>
      <c r="C118" s="2074"/>
    </row>
  </sheetData>
  <customSheetViews>
    <customSheetView guid="{BD09DBC2-63A5-4D9C-9B00-4281066E9389}" showGridLines="0" printArea="1">
      <selection activeCell="I8" sqref="I8"/>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alignWithMargins="0">
        <oddFooter>&amp;C&amp;P</oddFooter>
      </headerFooter>
    </customSheetView>
    <customSheetView guid="{C82E0A7D-2B5B-48FC-A705-3168E651E04C}"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2"/>
      <headerFooter scaleWithDoc="0" alignWithMargins="0">
        <oddFooter>&amp;C&amp;8&amp;P</oddFooter>
      </headerFooter>
    </customSheetView>
    <customSheetView guid="{A8B05C3B-0E7E-44A3-A097-AF4C5C09F04E}"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3"/>
      <headerFooter scaleWithDoc="0" alignWithMargins="0">
        <oddFooter>&amp;C&amp;8&amp;P</oddFooter>
      </headerFooter>
    </customSheetView>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4"/>
      <headerFooter scaleWithDoc="0" alignWithMargins="0">
        <oddFooter>&amp;C&amp;8&amp;P</oddFooter>
      </headerFooter>
    </customSheetView>
    <customSheetView guid="{4735AAE3-27B4-4549-AAB4-50ACA997F5F5}" showGridLines="0" printArea="1">
      <selection activeCell="M45" sqref="M45"/>
      <rowBreaks count="1" manualBreakCount="1">
        <brk id="56" max="12" man="1"/>
      </rowBreaks>
      <pageMargins left="0.25" right="0.25" top="0.5" bottom="0.25" header="0.5" footer="0.25"/>
      <printOptions horizontalCentered="1" verticalCentered="1"/>
      <pageSetup scale="69" firstPageNumber="48" fitToHeight="2" orientation="landscape" useFirstPageNumber="1" r:id="rId5"/>
      <headerFooter scaleWithDoc="0" alignWithMargins="0">
        <oddFooter>&amp;C&amp;8&amp;P</oddFooter>
      </headerFooter>
    </customSheetView>
    <customSheetView guid="{80622567-647A-4891-B8EE-6B9E2C4DAC44}" scale="90" showGridLines="0" printArea="1" topLeftCell="A70">
      <selection activeCell="I98" sqref="I98"/>
      <rowBreaks count="1" manualBreakCount="1">
        <brk id="56" max="12" man="1"/>
      </rowBreaks>
      <pageMargins left="0.25" right="0.25" top="0.5" bottom="0.25" header="0.5" footer="0.25"/>
      <printOptions horizontalCentered="1" verticalCentered="1"/>
      <pageSetup scale="69" firstPageNumber="48" fitToHeight="2" orientation="landscape" useFirstPageNumber="1" r:id="rId6"/>
      <headerFooter scaleWithDoc="0" alignWithMargins="0">
        <oddFooter>&amp;C&amp;8&amp;P</oddFooter>
      </headerFooter>
    </customSheetView>
    <customSheetView guid="{A97EE6C3-4DA8-41BD-BE43-F596EFCB43CA}" scale="60" showGridLines="0" printArea="1" view="pageBreakPreview">
      <selection activeCell="L1" sqref="L1:L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7"/>
      <headerFooter scaleWithDoc="0" alignWithMargins="0">
        <oddFooter>&amp;C&amp;8&amp;P</oddFooter>
      </headerFooter>
    </customSheetView>
    <customSheetView guid="{90B76C5A-2FC4-40F0-8436-3E4F075A4887}" scale="80" showGridLines="0" printArea="1">
      <selection activeCell="I8" sqref="I8"/>
      <rowBreaks count="1" manualBreakCount="1">
        <brk id="56" max="12" man="1"/>
      </rowBreaks>
      <pageMargins left="0.25" right="0.25" top="0.5" bottom="0.25" header="0.5" footer="0.25"/>
      <printOptions horizontalCentered="1" verticalCentered="1"/>
      <pageSetup scale="69" firstPageNumber="48" fitToHeight="2" orientation="landscape" useFirstPageNumber="1" r:id="rId8"/>
      <headerFooter scaleWithDoc="0" alignWithMargins="0">
        <oddFooter>&amp;C&amp;8&amp;P</oddFooter>
      </headerFooter>
    </customSheetView>
  </customSheetViews>
  <printOptions horizontalCentered="1" verticalCentered="1"/>
  <pageMargins left="0.25" right="0.25" top="0.5" bottom="0.25" header="0.5" footer="0.25"/>
  <pageSetup scale="69" firstPageNumber="48" fitToHeight="2" orientation="landscape" useFirstPageNumber="1" r:id="rId9"/>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sheetPr codeName="Sheet37">
    <pageSetUpPr autoPageBreaks="0" fitToPage="1"/>
  </sheetPr>
  <dimension ref="A1:J108"/>
  <sheetViews>
    <sheetView showGridLines="0" zoomScale="80" zoomScaleNormal="80" zoomScaleSheetLayoutView="79" workbookViewId="0"/>
  </sheetViews>
  <sheetFormatPr defaultRowHeight="15"/>
  <cols>
    <col min="1" max="1" width="2.21875" style="1463" customWidth="1"/>
    <col min="2" max="2" width="8.88671875" style="1463"/>
    <col min="3" max="3" width="2.21875" style="1463" customWidth="1"/>
    <col min="4" max="4" width="21.109375" style="1463" bestFit="1" customWidth="1"/>
    <col min="5" max="5" width="2.21875" style="1463" customWidth="1"/>
    <col min="6" max="6" width="59.109375" style="1463" customWidth="1"/>
    <col min="7" max="7" width="2.21875" style="1463" customWidth="1"/>
    <col min="8" max="8" width="16" style="1463" customWidth="1"/>
    <col min="9" max="9" width="2.21875" style="1463" customWidth="1"/>
    <col min="10" max="10" width="16.33203125" style="1463" customWidth="1"/>
    <col min="11" max="11" width="8.88671875" style="1463" customWidth="1"/>
    <col min="12" max="16384" width="8.88671875" style="1463"/>
  </cols>
  <sheetData>
    <row r="1" spans="1:10">
      <c r="A1" s="1227" t="s">
        <v>1322</v>
      </c>
    </row>
    <row r="2" spans="1:10">
      <c r="A2" s="1881"/>
    </row>
    <row r="3" spans="1:10" ht="15.75">
      <c r="A3" s="1461" t="s">
        <v>0</v>
      </c>
      <c r="B3" s="1456"/>
      <c r="C3" s="1456"/>
      <c r="D3" s="1456"/>
      <c r="E3" s="1456"/>
      <c r="F3" s="1456"/>
      <c r="G3" s="1456"/>
      <c r="H3" s="1462"/>
      <c r="I3" s="2014"/>
      <c r="J3" s="2015" t="s">
        <v>627</v>
      </c>
    </row>
    <row r="4" spans="1:10" ht="15.75">
      <c r="A4" s="1464" t="s">
        <v>1656</v>
      </c>
      <c r="B4" s="1464"/>
      <c r="C4" s="1464"/>
      <c r="D4" s="1464"/>
      <c r="E4" s="1464"/>
      <c r="F4" s="1464"/>
      <c r="G4" s="1465"/>
      <c r="H4" s="1466"/>
      <c r="I4" s="1467"/>
      <c r="J4" s="1467"/>
    </row>
    <row r="5" spans="1:10" ht="15.75">
      <c r="A5" s="1464" t="s">
        <v>628</v>
      </c>
      <c r="B5" s="1464"/>
      <c r="C5" s="1464"/>
      <c r="D5" s="1464"/>
      <c r="E5" s="1464"/>
      <c r="F5" s="1464"/>
      <c r="G5" s="1465"/>
      <c r="H5" s="1468"/>
      <c r="I5" s="1467"/>
      <c r="J5" s="1467"/>
    </row>
    <row r="6" spans="1:10" s="1472" customFormat="1" ht="12">
      <c r="A6" s="1469"/>
      <c r="B6" s="1470"/>
      <c r="C6" s="1470"/>
      <c r="D6" s="1469"/>
      <c r="E6" s="1469"/>
      <c r="F6" s="1469"/>
      <c r="G6" s="1469"/>
      <c r="H6" s="1469"/>
      <c r="I6" s="1469"/>
      <c r="J6" s="1471"/>
    </row>
    <row r="7" spans="1:10" s="1472" customFormat="1" ht="12">
      <c r="A7" s="1470"/>
      <c r="B7" s="1473" t="s">
        <v>629</v>
      </c>
      <c r="C7" s="1473"/>
      <c r="D7" s="1474"/>
      <c r="E7" s="1474"/>
      <c r="F7" s="1474"/>
      <c r="G7" s="1474"/>
      <c r="H7" s="1475"/>
      <c r="I7" s="1476"/>
      <c r="J7" s="1470"/>
    </row>
    <row r="8" spans="1:10" s="1472" customFormat="1" ht="12.75" thickBot="1">
      <c r="A8" s="1470"/>
      <c r="B8" s="1477" t="s">
        <v>631</v>
      </c>
      <c r="C8" s="1478"/>
      <c r="D8" s="1479" t="s">
        <v>632</v>
      </c>
      <c r="E8" s="1480"/>
      <c r="F8" s="1479" t="s">
        <v>546</v>
      </c>
      <c r="G8" s="1480"/>
      <c r="H8" s="1481" t="s">
        <v>1654</v>
      </c>
      <c r="I8" s="1482"/>
      <c r="J8" s="1483" t="s">
        <v>630</v>
      </c>
    </row>
    <row r="9" spans="1:10" s="1472" customFormat="1" ht="12">
      <c r="A9" s="1484" t="s">
        <v>633</v>
      </c>
      <c r="B9" s="1458"/>
      <c r="C9" s="1458"/>
      <c r="D9" s="1458"/>
      <c r="E9" s="1470"/>
      <c r="F9" s="1485"/>
      <c r="G9" s="1485"/>
      <c r="H9" s="2016"/>
      <c r="I9" s="2017"/>
      <c r="J9" s="2017"/>
    </row>
    <row r="10" spans="1:10" s="1472" customFormat="1" ht="12">
      <c r="A10" s="1484"/>
      <c r="B10" s="1486" t="s">
        <v>1402</v>
      </c>
      <c r="C10" s="1484"/>
      <c r="D10" s="1487" t="s">
        <v>634</v>
      </c>
      <c r="E10" s="1470"/>
      <c r="F10" s="1488" t="s">
        <v>635</v>
      </c>
      <c r="G10" s="1489"/>
      <c r="H10" s="2018">
        <v>0</v>
      </c>
      <c r="I10" s="1568"/>
      <c r="J10" s="2019">
        <v>5824761.2400000002</v>
      </c>
    </row>
    <row r="11" spans="1:10" s="1472" customFormat="1" ht="12">
      <c r="A11" s="1484"/>
      <c r="B11" s="1486" t="s">
        <v>636</v>
      </c>
      <c r="C11" s="1484"/>
      <c r="D11" s="1487" t="s">
        <v>637</v>
      </c>
      <c r="E11" s="1470"/>
      <c r="F11" s="1488" t="s">
        <v>638</v>
      </c>
      <c r="G11" s="1488"/>
      <c r="H11" s="2020">
        <v>0</v>
      </c>
      <c r="I11" s="3333"/>
      <c r="J11" s="2025">
        <v>10057886.999999998</v>
      </c>
    </row>
    <row r="12" spans="1:10" s="1472" customFormat="1" ht="12">
      <c r="A12" s="1484"/>
      <c r="B12" s="1486" t="s">
        <v>639</v>
      </c>
      <c r="C12" s="1484"/>
      <c r="D12" s="1487" t="s">
        <v>640</v>
      </c>
      <c r="E12" s="1470"/>
      <c r="F12" s="1488" t="s">
        <v>641</v>
      </c>
      <c r="G12" s="1488"/>
      <c r="H12" s="2020">
        <v>0</v>
      </c>
      <c r="I12" s="3333"/>
      <c r="J12" s="2025">
        <v>399900</v>
      </c>
    </row>
    <row r="13" spans="1:10" s="1472" customFormat="1" ht="12">
      <c r="A13" s="1484"/>
      <c r="B13" s="1486" t="s">
        <v>642</v>
      </c>
      <c r="C13" s="1484"/>
      <c r="D13" s="1487" t="s">
        <v>643</v>
      </c>
      <c r="E13" s="1470"/>
      <c r="F13" s="1488" t="s">
        <v>644</v>
      </c>
      <c r="G13" s="1488"/>
      <c r="H13" s="2020">
        <v>0</v>
      </c>
      <c r="I13" s="3333"/>
      <c r="J13" s="2025">
        <v>2102760</v>
      </c>
    </row>
    <row r="14" spans="1:10" s="1472" customFormat="1" ht="12">
      <c r="A14" s="1484"/>
      <c r="B14" s="1486" t="s">
        <v>645</v>
      </c>
      <c r="C14" s="1484"/>
      <c r="D14" s="1487" t="s">
        <v>643</v>
      </c>
      <c r="E14" s="1470"/>
      <c r="F14" s="1488" t="s">
        <v>646</v>
      </c>
      <c r="G14" s="1488"/>
      <c r="H14" s="2020">
        <v>0</v>
      </c>
      <c r="I14" s="3333"/>
      <c r="J14" s="2025">
        <v>147198591</v>
      </c>
    </row>
    <row r="15" spans="1:10" s="1472" customFormat="1" ht="12">
      <c r="A15" s="1484"/>
      <c r="B15" s="1486" t="s">
        <v>647</v>
      </c>
      <c r="C15" s="1484"/>
      <c r="D15" s="1487" t="s">
        <v>643</v>
      </c>
      <c r="E15" s="1470"/>
      <c r="F15" s="1488" t="s">
        <v>648</v>
      </c>
      <c r="G15" s="1488"/>
      <c r="H15" s="2021">
        <v>188932.77</v>
      </c>
      <c r="I15" s="3333"/>
      <c r="J15" s="2025">
        <v>17533883.73</v>
      </c>
    </row>
    <row r="16" spans="1:10" s="1472" customFormat="1" ht="12">
      <c r="A16" s="1484"/>
      <c r="B16" s="1486" t="s">
        <v>649</v>
      </c>
      <c r="C16" s="1484"/>
      <c r="D16" s="1487" t="s">
        <v>643</v>
      </c>
      <c r="E16" s="1470"/>
      <c r="F16" s="1488" t="s">
        <v>650</v>
      </c>
      <c r="G16" s="1488"/>
      <c r="H16" s="2021">
        <v>6959445.0599999996</v>
      </c>
      <c r="I16" s="3333"/>
      <c r="J16" s="2025">
        <v>13517147.810000001</v>
      </c>
    </row>
    <row r="17" spans="1:10" s="1472" customFormat="1" ht="12">
      <c r="A17" s="1484"/>
      <c r="B17" s="1486" t="s">
        <v>651</v>
      </c>
      <c r="C17" s="1484"/>
      <c r="D17" s="1487" t="s">
        <v>643</v>
      </c>
      <c r="E17" s="1470"/>
      <c r="F17" s="1488" t="s">
        <v>652</v>
      </c>
      <c r="G17" s="1488"/>
      <c r="H17" s="2020">
        <v>0</v>
      </c>
      <c r="I17" s="3333"/>
      <c r="J17" s="2025">
        <v>53551200.24000001</v>
      </c>
    </row>
    <row r="18" spans="1:10" s="1472" customFormat="1" ht="12">
      <c r="A18" s="1484"/>
      <c r="B18" s="1486" t="s">
        <v>653</v>
      </c>
      <c r="C18" s="1484"/>
      <c r="D18" s="1487" t="s">
        <v>643</v>
      </c>
      <c r="E18" s="1470"/>
      <c r="F18" s="1488" t="s">
        <v>654</v>
      </c>
      <c r="G18" s="1488"/>
      <c r="H18" s="2020">
        <v>0</v>
      </c>
      <c r="I18" s="3333"/>
      <c r="J18" s="2025">
        <v>6039255</v>
      </c>
    </row>
    <row r="19" spans="1:10" s="1472" customFormat="1" ht="12">
      <c r="A19" s="1484"/>
      <c r="B19" s="1486" t="s">
        <v>655</v>
      </c>
      <c r="C19" s="1484"/>
      <c r="D19" s="1487" t="s">
        <v>643</v>
      </c>
      <c r="E19" s="1470"/>
      <c r="F19" s="1488" t="s">
        <v>656</v>
      </c>
      <c r="G19" s="1488"/>
      <c r="H19" s="2022">
        <v>6397286</v>
      </c>
      <c r="I19" s="3333"/>
      <c r="J19" s="2025">
        <v>232178947.71000001</v>
      </c>
    </row>
    <row r="20" spans="1:10" s="1472" customFormat="1" ht="12">
      <c r="A20" s="1484"/>
      <c r="B20" s="1486" t="s">
        <v>657</v>
      </c>
      <c r="C20" s="1484"/>
      <c r="D20" s="1487" t="s">
        <v>643</v>
      </c>
      <c r="E20" s="1470"/>
      <c r="F20" s="1488" t="s">
        <v>658</v>
      </c>
      <c r="G20" s="1488"/>
      <c r="H20" s="2020">
        <v>0</v>
      </c>
      <c r="I20" s="3333"/>
      <c r="J20" s="2025">
        <v>906803696</v>
      </c>
    </row>
    <row r="21" spans="1:10" s="1472" customFormat="1" ht="12">
      <c r="A21" s="1484"/>
      <c r="B21" s="1490">
        <v>84.39</v>
      </c>
      <c r="C21" s="1487"/>
      <c r="D21" s="1487" t="s">
        <v>643</v>
      </c>
      <c r="E21" s="1470"/>
      <c r="F21" s="1488" t="s">
        <v>659</v>
      </c>
      <c r="G21" s="1488"/>
      <c r="H21" s="2023">
        <v>0</v>
      </c>
      <c r="I21" s="3333"/>
      <c r="J21" s="3334">
        <v>25694044</v>
      </c>
    </row>
    <row r="22" spans="1:10" s="1472" customFormat="1" ht="12">
      <c r="A22" s="1484"/>
      <c r="B22" s="1486" t="s">
        <v>660</v>
      </c>
      <c r="C22" s="1484"/>
      <c r="D22" s="1487" t="s">
        <v>643</v>
      </c>
      <c r="E22" s="1470"/>
      <c r="F22" s="1488" t="s">
        <v>661</v>
      </c>
      <c r="G22" s="1488"/>
      <c r="H22" s="2020">
        <v>0</v>
      </c>
      <c r="I22" s="2025"/>
      <c r="J22" s="2025">
        <v>755867980.04999995</v>
      </c>
    </row>
    <row r="23" spans="1:10" s="1472" customFormat="1" ht="12">
      <c r="A23" s="1484"/>
      <c r="B23" s="1486" t="s">
        <v>662</v>
      </c>
      <c r="C23" s="1484"/>
      <c r="D23" s="1487" t="s">
        <v>643</v>
      </c>
      <c r="E23" s="1470"/>
      <c r="F23" s="1488" t="s">
        <v>663</v>
      </c>
      <c r="G23" s="1488"/>
      <c r="H23" s="2020">
        <v>0</v>
      </c>
      <c r="I23" s="2025"/>
      <c r="J23" s="2025">
        <v>34302395</v>
      </c>
    </row>
    <row r="24" spans="1:10" s="1472" customFormat="1" ht="12">
      <c r="A24" s="1470"/>
      <c r="B24" s="1491" t="s">
        <v>664</v>
      </c>
      <c r="C24" s="1492"/>
      <c r="D24" s="1492" t="s">
        <v>643</v>
      </c>
      <c r="E24" s="1492"/>
      <c r="F24" s="1493" t="s">
        <v>665</v>
      </c>
      <c r="G24" s="1493"/>
      <c r="H24" s="2020">
        <v>0</v>
      </c>
      <c r="I24" s="3335"/>
      <c r="J24" s="2022">
        <v>2468557791</v>
      </c>
    </row>
    <row r="25" spans="1:10" s="1472" customFormat="1" ht="12" customHeight="1">
      <c r="A25" s="1470"/>
      <c r="B25" s="1486" t="s">
        <v>666</v>
      </c>
      <c r="C25" s="1487"/>
      <c r="D25" s="1487" t="s">
        <v>643</v>
      </c>
      <c r="E25" s="1470"/>
      <c r="F25" s="1488" t="s">
        <v>667</v>
      </c>
      <c r="G25" s="1488"/>
      <c r="H25" s="2022">
        <v>12495318.210000001</v>
      </c>
      <c r="I25" s="1499"/>
      <c r="J25" s="2025">
        <v>458290566.31</v>
      </c>
    </row>
    <row r="26" spans="1:10" s="1472" customFormat="1" ht="12" customHeight="1">
      <c r="A26" s="1470"/>
      <c r="B26" s="1491" t="s">
        <v>668</v>
      </c>
      <c r="C26" s="1492"/>
      <c r="D26" s="1492" t="s">
        <v>643</v>
      </c>
      <c r="E26" s="1492"/>
      <c r="F26" s="1493" t="s">
        <v>669</v>
      </c>
      <c r="G26" s="1493"/>
      <c r="H26" s="2020">
        <v>0</v>
      </c>
      <c r="I26" s="3335"/>
      <c r="J26" s="2022">
        <v>527364018.81</v>
      </c>
    </row>
    <row r="27" spans="1:10" s="1472" customFormat="1" ht="12">
      <c r="A27" s="1470"/>
      <c r="B27" s="1486" t="s">
        <v>670</v>
      </c>
      <c r="C27" s="1487"/>
      <c r="D27" s="1487" t="s">
        <v>643</v>
      </c>
      <c r="E27" s="1470"/>
      <c r="F27" s="1488" t="s">
        <v>671</v>
      </c>
      <c r="G27" s="1488"/>
      <c r="H27" s="2020">
        <v>0</v>
      </c>
      <c r="I27" s="1499"/>
      <c r="J27" s="2025">
        <v>856884</v>
      </c>
    </row>
    <row r="28" spans="1:10" s="1472" customFormat="1" ht="12">
      <c r="A28" s="1470"/>
      <c r="B28" s="1491" t="s">
        <v>672</v>
      </c>
      <c r="C28" s="1492"/>
      <c r="D28" s="1492" t="s">
        <v>643</v>
      </c>
      <c r="E28" s="1492"/>
      <c r="F28" s="1493" t="s">
        <v>673</v>
      </c>
      <c r="G28" s="1493"/>
      <c r="H28" s="2020">
        <v>0</v>
      </c>
      <c r="I28" s="3335"/>
      <c r="J28" s="2022">
        <v>2297731</v>
      </c>
    </row>
    <row r="29" spans="1:10" s="1472" customFormat="1" ht="12">
      <c r="A29" s="1470"/>
      <c r="B29" s="1486" t="s">
        <v>674</v>
      </c>
      <c r="C29" s="1487"/>
      <c r="D29" s="1487" t="s">
        <v>643</v>
      </c>
      <c r="E29" s="1470"/>
      <c r="F29" s="1488" t="s">
        <v>675</v>
      </c>
      <c r="G29" s="1488"/>
      <c r="H29" s="2020">
        <v>0</v>
      </c>
      <c r="I29" s="1499"/>
      <c r="J29" s="2025">
        <v>616479620</v>
      </c>
    </row>
    <row r="30" spans="1:10" s="1472" customFormat="1" ht="12">
      <c r="A30" s="1470"/>
      <c r="B30" s="1486" t="s">
        <v>676</v>
      </c>
      <c r="C30" s="1487"/>
      <c r="D30" s="1487" t="s">
        <v>677</v>
      </c>
      <c r="E30" s="1470"/>
      <c r="F30" s="1488" t="s">
        <v>678</v>
      </c>
      <c r="G30" s="1488"/>
      <c r="H30" s="2020">
        <v>0</v>
      </c>
      <c r="I30" s="1499"/>
      <c r="J30" s="2025">
        <v>411249</v>
      </c>
    </row>
    <row r="31" spans="1:10" s="1472" customFormat="1" ht="12">
      <c r="A31" s="1470"/>
      <c r="B31" s="1491"/>
      <c r="C31" s="1470"/>
      <c r="D31" s="1470"/>
      <c r="E31" s="1470"/>
      <c r="F31" s="1495" t="s">
        <v>679</v>
      </c>
      <c r="G31" s="1495"/>
      <c r="H31" s="3178">
        <f>ROUND(SUM(H10:H30),2)</f>
        <v>26040982.039999999</v>
      </c>
      <c r="I31" s="2024"/>
      <c r="J31" s="3178">
        <f>ROUND(SUM(J10:J30),2)</f>
        <v>6285330308.8999996</v>
      </c>
    </row>
    <row r="32" spans="1:10" s="1472" customFormat="1" ht="12.75" customHeight="1">
      <c r="A32" s="1496" t="s">
        <v>680</v>
      </c>
      <c r="B32" s="1459"/>
      <c r="C32" s="1460"/>
      <c r="D32" s="1460"/>
      <c r="E32" s="1470"/>
      <c r="F32" s="1485"/>
      <c r="G32" s="1485"/>
      <c r="H32" s="2025"/>
      <c r="I32" s="2016"/>
      <c r="J32" s="2016"/>
    </row>
    <row r="33" spans="1:10" s="1472" customFormat="1" ht="11.25" customHeight="1">
      <c r="A33" s="1496"/>
      <c r="B33" s="1491" t="s">
        <v>681</v>
      </c>
      <c r="C33" s="1492"/>
      <c r="D33" s="1492" t="s">
        <v>634</v>
      </c>
      <c r="E33" s="1470"/>
      <c r="F33" s="1470" t="s">
        <v>682</v>
      </c>
      <c r="G33" s="1470"/>
      <c r="H33" s="2020">
        <v>0</v>
      </c>
      <c r="I33" s="3333"/>
      <c r="J33" s="2025">
        <v>7611.86</v>
      </c>
    </row>
    <row r="34" spans="1:10" s="1472" customFormat="1" ht="11.25" customHeight="1">
      <c r="A34" s="1496"/>
      <c r="B34" s="1491" t="s">
        <v>683</v>
      </c>
      <c r="C34" s="1492"/>
      <c r="D34" s="1492" t="s">
        <v>634</v>
      </c>
      <c r="E34" s="1470"/>
      <c r="F34" s="1470" t="s">
        <v>684</v>
      </c>
      <c r="G34" s="1470"/>
      <c r="H34" s="2020">
        <v>0</v>
      </c>
      <c r="I34" s="3333"/>
      <c r="J34" s="2025">
        <v>763000</v>
      </c>
    </row>
    <row r="35" spans="1:10" s="1472" customFormat="1" ht="11.25" customHeight="1">
      <c r="A35" s="1496"/>
      <c r="B35" s="1491" t="s">
        <v>685</v>
      </c>
      <c r="C35" s="1492"/>
      <c r="D35" s="1492" t="s">
        <v>686</v>
      </c>
      <c r="E35" s="1470"/>
      <c r="F35" s="1470" t="s">
        <v>687</v>
      </c>
      <c r="G35" s="1470"/>
      <c r="H35" s="2020">
        <v>0</v>
      </c>
      <c r="I35" s="3333"/>
      <c r="J35" s="2025">
        <v>1000000</v>
      </c>
    </row>
    <row r="36" spans="1:10" s="1472" customFormat="1" ht="11.25" customHeight="1">
      <c r="A36" s="1496"/>
      <c r="B36" s="1491" t="s">
        <v>688</v>
      </c>
      <c r="C36" s="1492"/>
      <c r="D36" s="1492" t="s">
        <v>686</v>
      </c>
      <c r="E36" s="1470"/>
      <c r="F36" s="1470" t="s">
        <v>689</v>
      </c>
      <c r="G36" s="1470"/>
      <c r="H36" s="2020">
        <v>0</v>
      </c>
      <c r="I36" s="3333"/>
      <c r="J36" s="2025">
        <v>1635086.95</v>
      </c>
    </row>
    <row r="37" spans="1:10" s="1472" customFormat="1" ht="11.25" customHeight="1">
      <c r="A37" s="1496"/>
      <c r="B37" s="1491">
        <v>66.453999999999994</v>
      </c>
      <c r="C37" s="1492"/>
      <c r="D37" s="1492" t="s">
        <v>686</v>
      </c>
      <c r="E37" s="1470"/>
      <c r="F37" s="1470" t="s">
        <v>690</v>
      </c>
      <c r="G37" s="1470"/>
      <c r="H37" s="2020">
        <v>0</v>
      </c>
      <c r="I37" s="3333"/>
      <c r="J37" s="2025">
        <v>4132731.39</v>
      </c>
    </row>
    <row r="38" spans="1:10" s="1472" customFormat="1" ht="12" customHeight="1">
      <c r="A38" s="1470"/>
      <c r="B38" s="1491">
        <v>66.457999999999998</v>
      </c>
      <c r="C38" s="1470"/>
      <c r="D38" s="1470" t="s">
        <v>686</v>
      </c>
      <c r="E38" s="1470"/>
      <c r="F38" s="1470" t="s">
        <v>691</v>
      </c>
      <c r="G38" s="1470"/>
      <c r="H38" s="2020">
        <v>0</v>
      </c>
      <c r="I38" s="3333"/>
      <c r="J38" s="2025">
        <v>432564200</v>
      </c>
    </row>
    <row r="39" spans="1:10" s="1472" customFormat="1" ht="12" customHeight="1">
      <c r="A39" s="1470"/>
      <c r="B39" s="1491" t="s">
        <v>692</v>
      </c>
      <c r="C39" s="1470"/>
      <c r="D39" s="1470" t="s">
        <v>686</v>
      </c>
      <c r="E39" s="1470"/>
      <c r="F39" s="1470" t="s">
        <v>693</v>
      </c>
      <c r="G39" s="1470"/>
      <c r="H39" s="2020">
        <v>0</v>
      </c>
      <c r="I39" s="3333"/>
      <c r="J39" s="2025">
        <v>86811000</v>
      </c>
    </row>
    <row r="40" spans="1:10" s="1472" customFormat="1" ht="12" customHeight="1">
      <c r="A40" s="1470"/>
      <c r="B40" s="1491" t="s">
        <v>694</v>
      </c>
      <c r="C40" s="1470"/>
      <c r="D40" s="1470" t="s">
        <v>686</v>
      </c>
      <c r="E40" s="1470"/>
      <c r="F40" s="1470" t="s">
        <v>695</v>
      </c>
      <c r="G40" s="1470"/>
      <c r="H40" s="2020">
        <v>0</v>
      </c>
      <c r="I40" s="3333"/>
      <c r="J40" s="2025">
        <v>9212000</v>
      </c>
    </row>
    <row r="41" spans="1:10" s="1472" customFormat="1" ht="12" customHeight="1">
      <c r="A41" s="1470"/>
      <c r="B41" s="1491" t="s">
        <v>696</v>
      </c>
      <c r="C41" s="1470"/>
      <c r="D41" s="1470" t="s">
        <v>697</v>
      </c>
      <c r="E41" s="1470"/>
      <c r="F41" s="1470" t="s">
        <v>698</v>
      </c>
      <c r="G41" s="1470"/>
      <c r="H41" s="2020">
        <v>0</v>
      </c>
      <c r="I41" s="3333"/>
      <c r="J41" s="2025">
        <v>395730364.83999997</v>
      </c>
    </row>
    <row r="42" spans="1:10" s="1472" customFormat="1" ht="12" customHeight="1">
      <c r="A42" s="1470"/>
      <c r="B42" s="1491" t="s">
        <v>699</v>
      </c>
      <c r="C42" s="1470"/>
      <c r="D42" s="1470" t="s">
        <v>697</v>
      </c>
      <c r="E42" s="1470"/>
      <c r="F42" s="1470" t="s">
        <v>700</v>
      </c>
      <c r="G42" s="1470"/>
      <c r="H42" s="2020">
        <v>118678.16</v>
      </c>
      <c r="I42" s="3333"/>
      <c r="J42" s="2025">
        <v>1234857.92</v>
      </c>
    </row>
    <row r="43" spans="1:10" s="1472" customFormat="1" ht="12" customHeight="1">
      <c r="A43" s="1470"/>
      <c r="B43" s="1491"/>
      <c r="C43" s="1470"/>
      <c r="D43" s="1470"/>
      <c r="E43" s="1470"/>
      <c r="F43" s="1495" t="s">
        <v>701</v>
      </c>
      <c r="G43" s="1495"/>
      <c r="H43" s="3178">
        <f>ROUND(SUM(H33:H42),2)</f>
        <v>118678.16</v>
      </c>
      <c r="I43" s="2016"/>
      <c r="J43" s="3178">
        <f>ROUND(SUM(J33:J42),2)</f>
        <v>933090852.96000004</v>
      </c>
    </row>
    <row r="44" spans="1:10" s="1472" customFormat="1" ht="12.75" customHeight="1">
      <c r="A44" s="1484" t="s">
        <v>702</v>
      </c>
      <c r="B44" s="1458"/>
      <c r="C44" s="1458"/>
      <c r="D44" s="1458"/>
      <c r="E44" s="1470"/>
      <c r="F44" s="1485"/>
      <c r="G44" s="1485"/>
      <c r="H44" s="2020"/>
      <c r="I44" s="2016"/>
      <c r="J44" s="2016"/>
    </row>
    <row r="45" spans="1:10" s="1472" customFormat="1" ht="11.25" customHeight="1">
      <c r="A45" s="1470"/>
      <c r="B45" s="1497">
        <v>10.568</v>
      </c>
      <c r="C45" s="1487"/>
      <c r="D45" s="1487" t="s">
        <v>634</v>
      </c>
      <c r="E45" s="1470"/>
      <c r="F45" s="1488" t="s">
        <v>703</v>
      </c>
      <c r="G45" s="1488"/>
      <c r="H45" s="2020">
        <v>0</v>
      </c>
      <c r="I45" s="3333"/>
      <c r="J45" s="2025">
        <v>4891302</v>
      </c>
    </row>
    <row r="46" spans="1:10" s="1472" customFormat="1" ht="12">
      <c r="A46" s="1470"/>
      <c r="B46" s="1497">
        <v>93.704999999999998</v>
      </c>
      <c r="C46" s="1498"/>
      <c r="D46" s="1487" t="s">
        <v>677</v>
      </c>
      <c r="E46" s="1487"/>
      <c r="F46" s="1488" t="s">
        <v>704</v>
      </c>
      <c r="G46" s="1488"/>
      <c r="H46" s="2020">
        <v>0</v>
      </c>
      <c r="I46" s="3333"/>
      <c r="J46" s="2025">
        <v>2042446</v>
      </c>
    </row>
    <row r="47" spans="1:10" s="1472" customFormat="1" ht="12">
      <c r="A47" s="1470"/>
      <c r="B47" s="1497">
        <v>93.706999999999994</v>
      </c>
      <c r="C47" s="1487"/>
      <c r="D47" s="1487" t="s">
        <v>677</v>
      </c>
      <c r="E47" s="1487"/>
      <c r="F47" s="1488" t="s">
        <v>705</v>
      </c>
      <c r="G47" s="1488"/>
      <c r="H47" s="2020">
        <v>0</v>
      </c>
      <c r="I47" s="3333"/>
      <c r="J47" s="2025">
        <v>4148718</v>
      </c>
    </row>
    <row r="48" spans="1:10" s="1472" customFormat="1" ht="12" customHeight="1">
      <c r="A48" s="1470"/>
      <c r="B48" s="1470"/>
      <c r="C48" s="1470"/>
      <c r="D48" s="1470"/>
      <c r="E48" s="1470"/>
      <c r="F48" s="1495" t="s">
        <v>706</v>
      </c>
      <c r="G48" s="1495"/>
      <c r="H48" s="3178">
        <f>ROUND(SUM(H45:H47),2)</f>
        <v>0</v>
      </c>
      <c r="I48" s="2016"/>
      <c r="J48" s="3178">
        <f>ROUND(SUM(J45:J47),2)</f>
        <v>11082466</v>
      </c>
    </row>
    <row r="49" spans="1:10" s="1472" customFormat="1" ht="12.75" customHeight="1">
      <c r="A49" s="1484" t="s">
        <v>707</v>
      </c>
      <c r="B49" s="1458"/>
      <c r="C49" s="1458"/>
      <c r="D49" s="1458"/>
      <c r="E49" s="1470"/>
      <c r="F49" s="1470"/>
      <c r="G49" s="1470"/>
      <c r="H49" s="1499"/>
      <c r="I49" s="1494"/>
      <c r="J49" s="2026"/>
    </row>
    <row r="50" spans="1:10" s="1472" customFormat="1" ht="12">
      <c r="B50" s="1497">
        <v>10.557</v>
      </c>
      <c r="C50" s="1470"/>
      <c r="D50" s="1487" t="s">
        <v>634</v>
      </c>
      <c r="E50" s="1470"/>
      <c r="F50" s="1493" t="s">
        <v>1336</v>
      </c>
      <c r="G50" s="1493"/>
      <c r="H50" s="2023">
        <v>0</v>
      </c>
      <c r="I50" s="3333"/>
      <c r="J50" s="3334">
        <v>5468978</v>
      </c>
    </row>
    <row r="51" spans="1:10" s="1472" customFormat="1" ht="12">
      <c r="B51" s="1497">
        <v>10.561</v>
      </c>
      <c r="C51" s="1487"/>
      <c r="D51" s="1487" t="s">
        <v>634</v>
      </c>
      <c r="E51" s="1470"/>
      <c r="F51" s="1488" t="s">
        <v>708</v>
      </c>
      <c r="G51" s="1488"/>
      <c r="H51" s="2023">
        <v>0</v>
      </c>
      <c r="I51" s="3333"/>
      <c r="J51" s="3334">
        <v>24402283</v>
      </c>
    </row>
    <row r="52" spans="1:10" s="1472" customFormat="1" ht="12">
      <c r="B52" s="1497">
        <v>10.577999999999999</v>
      </c>
      <c r="C52" s="1487"/>
      <c r="D52" s="1487" t="s">
        <v>634</v>
      </c>
      <c r="E52" s="1470"/>
      <c r="F52" s="1488" t="s">
        <v>709</v>
      </c>
      <c r="G52" s="1488"/>
      <c r="H52" s="2023">
        <v>0</v>
      </c>
      <c r="I52" s="3333"/>
      <c r="J52" s="3334">
        <v>4172768.48</v>
      </c>
    </row>
    <row r="53" spans="1:10" s="1472" customFormat="1" ht="24">
      <c r="B53" s="1497">
        <v>14.257</v>
      </c>
      <c r="C53" s="1487"/>
      <c r="D53" s="1488" t="s">
        <v>710</v>
      </c>
      <c r="E53" s="1470"/>
      <c r="F53" s="1488" t="s">
        <v>711</v>
      </c>
      <c r="G53" s="1488"/>
      <c r="H53" s="2023">
        <v>0</v>
      </c>
      <c r="I53" s="3333"/>
      <c r="J53" s="3334">
        <v>26951329</v>
      </c>
    </row>
    <row r="54" spans="1:10" s="1472" customFormat="1" ht="12">
      <c r="B54" s="1490">
        <v>84.393000000000001</v>
      </c>
      <c r="C54" s="1487"/>
      <c r="D54" s="1487" t="s">
        <v>643</v>
      </c>
      <c r="E54" s="1470"/>
      <c r="F54" s="1493" t="s">
        <v>712</v>
      </c>
      <c r="G54" s="1493"/>
      <c r="H54" s="2023">
        <v>0</v>
      </c>
      <c r="I54" s="3333"/>
      <c r="J54" s="3334">
        <v>26406387.039999999</v>
      </c>
    </row>
    <row r="55" spans="1:10" s="1472" customFormat="1" ht="12">
      <c r="B55" s="1490">
        <v>93.563000000000002</v>
      </c>
      <c r="C55" s="1487"/>
      <c r="D55" s="1487" t="s">
        <v>677</v>
      </c>
      <c r="E55" s="1470"/>
      <c r="F55" s="1493" t="s">
        <v>713</v>
      </c>
      <c r="G55" s="1493"/>
      <c r="H55" s="2023">
        <v>0</v>
      </c>
      <c r="I55" s="3333"/>
      <c r="J55" s="3334">
        <v>101131818.69</v>
      </c>
    </row>
    <row r="56" spans="1:10" s="1472" customFormat="1" ht="12">
      <c r="B56" s="1491" t="s">
        <v>714</v>
      </c>
      <c r="C56" s="1491"/>
      <c r="D56" s="1470" t="s">
        <v>677</v>
      </c>
      <c r="E56" s="1470"/>
      <c r="F56" s="1470" t="s">
        <v>715</v>
      </c>
      <c r="G56" s="1470"/>
      <c r="H56" s="2023">
        <v>0</v>
      </c>
      <c r="I56" s="3333"/>
      <c r="J56" s="3334">
        <v>54639114</v>
      </c>
    </row>
    <row r="57" spans="1:10" s="1472" customFormat="1" ht="12">
      <c r="B57" s="1491" t="s">
        <v>716</v>
      </c>
      <c r="C57" s="1491"/>
      <c r="D57" s="1487" t="s">
        <v>677</v>
      </c>
      <c r="E57" s="1470"/>
      <c r="F57" s="1493" t="s">
        <v>717</v>
      </c>
      <c r="G57" s="1493"/>
      <c r="H57" s="2023">
        <v>0</v>
      </c>
      <c r="I57" s="3333"/>
      <c r="J57" s="3334">
        <v>60062684</v>
      </c>
    </row>
    <row r="58" spans="1:10" s="1472" customFormat="1" ht="12">
      <c r="B58" s="1491" t="s">
        <v>718</v>
      </c>
      <c r="C58" s="1491"/>
      <c r="D58" s="1487" t="s">
        <v>677</v>
      </c>
      <c r="E58" s="1470"/>
      <c r="F58" s="1493" t="s">
        <v>719</v>
      </c>
      <c r="G58" s="1493"/>
      <c r="H58" s="2023">
        <v>0</v>
      </c>
      <c r="I58" s="3333"/>
      <c r="J58" s="3334">
        <v>5577399.8699999992</v>
      </c>
    </row>
    <row r="59" spans="1:10" s="1472" customFormat="1" ht="12">
      <c r="B59" s="1491" t="s">
        <v>720</v>
      </c>
      <c r="C59" s="1491"/>
      <c r="D59" s="1487" t="s">
        <v>677</v>
      </c>
      <c r="E59" s="1470"/>
      <c r="F59" s="1493" t="s">
        <v>721</v>
      </c>
      <c r="G59" s="1493"/>
      <c r="H59" s="2023">
        <v>0</v>
      </c>
      <c r="I59" s="3333"/>
      <c r="J59" s="3334">
        <v>4275750.26</v>
      </c>
    </row>
    <row r="60" spans="1:10" s="1472" customFormat="1" ht="12">
      <c r="B60" s="1491" t="s">
        <v>722</v>
      </c>
      <c r="C60" s="1491"/>
      <c r="D60" s="1487" t="s">
        <v>677</v>
      </c>
      <c r="E60" s="1470"/>
      <c r="F60" s="1493" t="s">
        <v>723</v>
      </c>
      <c r="G60" s="1493"/>
      <c r="H60" s="2023">
        <v>0</v>
      </c>
      <c r="I60" s="3333"/>
      <c r="J60" s="3334">
        <v>96785640</v>
      </c>
    </row>
    <row r="61" spans="1:10" s="1472" customFormat="1" ht="24">
      <c r="B61" s="1486" t="s">
        <v>724</v>
      </c>
      <c r="C61" s="1491"/>
      <c r="D61" s="1487" t="s">
        <v>677</v>
      </c>
      <c r="E61" s="1487"/>
      <c r="F61" s="1488" t="s">
        <v>725</v>
      </c>
      <c r="G61" s="1488"/>
      <c r="H61" s="2023">
        <v>0</v>
      </c>
      <c r="I61" s="3333"/>
      <c r="J61" s="3334">
        <v>723023290</v>
      </c>
    </row>
    <row r="62" spans="1:10" s="1472" customFormat="1" ht="12">
      <c r="B62" s="1486" t="s">
        <v>726</v>
      </c>
      <c r="C62" s="1486"/>
      <c r="D62" s="1487" t="s">
        <v>677</v>
      </c>
      <c r="E62" s="1487"/>
      <c r="F62" s="1488" t="s">
        <v>727</v>
      </c>
      <c r="G62" s="1488"/>
      <c r="H62" s="2023">
        <v>0</v>
      </c>
      <c r="I62" s="3333"/>
      <c r="J62" s="3334">
        <v>1166708.33</v>
      </c>
    </row>
    <row r="63" spans="1:10" s="1472" customFormat="1" ht="12" customHeight="1">
      <c r="B63" s="1491" t="s">
        <v>728</v>
      </c>
      <c r="C63" s="1491"/>
      <c r="D63" s="1470" t="s">
        <v>677</v>
      </c>
      <c r="E63" s="1470"/>
      <c r="F63" s="1470" t="s">
        <v>1214</v>
      </c>
      <c r="G63" s="1470"/>
      <c r="H63" s="2023">
        <v>7279188.4900000002</v>
      </c>
      <c r="I63" s="3333"/>
      <c r="J63" s="3334">
        <v>13959493307.639999</v>
      </c>
    </row>
    <row r="64" spans="1:10" s="1472" customFormat="1" ht="24">
      <c r="B64" s="1486" t="s">
        <v>729</v>
      </c>
      <c r="C64" s="1491"/>
      <c r="D64" s="1488" t="s">
        <v>730</v>
      </c>
      <c r="E64" s="1470"/>
      <c r="F64" s="1487" t="s">
        <v>731</v>
      </c>
      <c r="G64" s="1487"/>
      <c r="H64" s="2023">
        <v>0</v>
      </c>
      <c r="I64" s="3333"/>
      <c r="J64" s="3334">
        <v>6672738.9100000001</v>
      </c>
    </row>
    <row r="65" spans="1:10" s="1472" customFormat="1" ht="12">
      <c r="B65" s="1470"/>
      <c r="C65" s="1470"/>
      <c r="D65" s="1470"/>
      <c r="E65" s="1470"/>
      <c r="F65" s="1495" t="s">
        <v>732</v>
      </c>
      <c r="G65" s="1495"/>
      <c r="H65" s="3178">
        <f>ROUND(SUM(H50:H64),2)</f>
        <v>7279188.4900000002</v>
      </c>
      <c r="I65" s="2017"/>
      <c r="J65" s="3178">
        <f>ROUND(SUM(J50:J64),2)</f>
        <v>15100230197.219999</v>
      </c>
    </row>
    <row r="66" spans="1:10" s="1472" customFormat="1" ht="12">
      <c r="A66" s="1484" t="s">
        <v>733</v>
      </c>
      <c r="B66" s="1498"/>
      <c r="C66" s="1498"/>
      <c r="D66" s="1470"/>
      <c r="E66" s="1470"/>
      <c r="F66" s="1485"/>
      <c r="G66" s="1485"/>
      <c r="H66" s="2025"/>
      <c r="I66" s="2017"/>
      <c r="J66" s="2017"/>
    </row>
    <row r="67" spans="1:10" s="1472" customFormat="1" ht="12">
      <c r="A67" s="1484"/>
      <c r="B67" s="1491">
        <v>84.397000000000006</v>
      </c>
      <c r="C67" s="1484"/>
      <c r="D67" s="1487" t="s">
        <v>643</v>
      </c>
      <c r="E67" s="1470"/>
      <c r="F67" s="1488" t="s">
        <v>669</v>
      </c>
      <c r="G67" s="1502"/>
      <c r="H67" s="2023">
        <v>0</v>
      </c>
      <c r="I67" s="3333"/>
      <c r="J67" s="3334">
        <v>21875000</v>
      </c>
    </row>
    <row r="68" spans="1:10" s="1472" customFormat="1" ht="12">
      <c r="A68" s="1470"/>
      <c r="B68" s="1491" t="s">
        <v>734</v>
      </c>
      <c r="C68" s="1470"/>
      <c r="D68" s="1470" t="s">
        <v>677</v>
      </c>
      <c r="E68" s="1470"/>
      <c r="F68" s="1492" t="s">
        <v>735</v>
      </c>
      <c r="G68" s="1492"/>
      <c r="H68" s="2023">
        <v>0</v>
      </c>
      <c r="I68" s="3333"/>
      <c r="J68" s="3334">
        <v>85384063.909999996</v>
      </c>
    </row>
    <row r="69" spans="1:10" s="1472" customFormat="1" ht="12">
      <c r="A69" s="1470"/>
      <c r="B69" s="1491"/>
      <c r="C69" s="1470"/>
      <c r="D69" s="1470"/>
      <c r="E69" s="1470"/>
      <c r="F69" s="1495" t="s">
        <v>736</v>
      </c>
      <c r="G69" s="1495"/>
      <c r="H69" s="3178">
        <f>ROUND(SUM(H67:H68),2)</f>
        <v>0</v>
      </c>
      <c r="I69" s="2017"/>
      <c r="J69" s="3178">
        <f>ROUND(SUM(J67:J68),2)</f>
        <v>107259063.91</v>
      </c>
    </row>
    <row r="70" spans="1:10" s="1472" customFormat="1">
      <c r="A70" s="1484" t="s">
        <v>737</v>
      </c>
      <c r="B70" s="1457"/>
      <c r="C70" s="1457"/>
      <c r="D70" s="1457"/>
      <c r="E70" s="1470"/>
      <c r="F70" s="1485"/>
      <c r="G70" s="1485"/>
      <c r="H70" s="2025"/>
      <c r="I70" s="2017"/>
      <c r="J70" s="2017"/>
    </row>
    <row r="71" spans="1:10" s="1472" customFormat="1" ht="12">
      <c r="A71" s="1484"/>
      <c r="B71" s="1491">
        <v>17.207000000000001</v>
      </c>
      <c r="C71" s="1484"/>
      <c r="D71" s="1470" t="s">
        <v>738</v>
      </c>
      <c r="E71" s="1470"/>
      <c r="F71" s="1492" t="s">
        <v>739</v>
      </c>
      <c r="G71" s="1492"/>
      <c r="H71" s="2023">
        <v>0</v>
      </c>
      <c r="I71" s="3333"/>
      <c r="J71" s="3334">
        <v>22855217</v>
      </c>
    </row>
    <row r="72" spans="1:10" s="1472" customFormat="1" ht="12">
      <c r="A72" s="1470"/>
      <c r="B72" s="1491" t="s">
        <v>740</v>
      </c>
      <c r="C72" s="1491"/>
      <c r="D72" s="1470" t="s">
        <v>738</v>
      </c>
      <c r="E72" s="1470"/>
      <c r="F72" s="1492" t="s">
        <v>741</v>
      </c>
      <c r="G72" s="1492"/>
      <c r="H72" s="2023">
        <v>53283.69</v>
      </c>
      <c r="I72" s="3333"/>
      <c r="J72" s="3334">
        <v>16658994324.92</v>
      </c>
    </row>
    <row r="73" spans="1:10" s="1472" customFormat="1" ht="12">
      <c r="A73" s="1470"/>
      <c r="B73" s="1491" t="s">
        <v>742</v>
      </c>
      <c r="C73" s="1491"/>
      <c r="D73" s="1470" t="s">
        <v>738</v>
      </c>
      <c r="E73" s="1470"/>
      <c r="F73" s="1492" t="s">
        <v>743</v>
      </c>
      <c r="G73" s="1492"/>
      <c r="H73" s="2023">
        <v>0</v>
      </c>
      <c r="I73" s="3333"/>
      <c r="J73" s="3334">
        <v>1539762.38</v>
      </c>
    </row>
    <row r="74" spans="1:10" s="1472" customFormat="1" ht="12">
      <c r="A74" s="1470"/>
      <c r="B74" s="1491">
        <v>17.257999999999999</v>
      </c>
      <c r="C74" s="1491"/>
      <c r="D74" s="1470" t="s">
        <v>738</v>
      </c>
      <c r="E74" s="1470"/>
      <c r="F74" s="1492" t="s">
        <v>744</v>
      </c>
      <c r="G74" s="1492"/>
      <c r="H74" s="2023">
        <v>0</v>
      </c>
      <c r="I74" s="3333"/>
      <c r="J74" s="3334">
        <v>31516111</v>
      </c>
    </row>
    <row r="75" spans="1:10" s="1472" customFormat="1" ht="12">
      <c r="A75" s="1470"/>
      <c r="B75" s="1491" t="s">
        <v>745</v>
      </c>
      <c r="C75" s="1491"/>
      <c r="D75" s="1470" t="s">
        <v>738</v>
      </c>
      <c r="E75" s="1470"/>
      <c r="F75" s="1492" t="s">
        <v>746</v>
      </c>
      <c r="G75" s="1492"/>
      <c r="H75" s="2023">
        <v>0</v>
      </c>
      <c r="I75" s="3333"/>
      <c r="J75" s="3334">
        <v>71526360</v>
      </c>
    </row>
    <row r="76" spans="1:10" s="1472" customFormat="1" ht="12">
      <c r="A76" s="1470"/>
      <c r="B76" s="1491" t="s">
        <v>747</v>
      </c>
      <c r="C76" s="1491"/>
      <c r="D76" s="1470" t="s">
        <v>738</v>
      </c>
      <c r="E76" s="1470"/>
      <c r="F76" s="1492" t="s">
        <v>748</v>
      </c>
      <c r="G76" s="1492"/>
      <c r="H76" s="2023">
        <v>0</v>
      </c>
      <c r="I76" s="3333"/>
      <c r="J76" s="3334">
        <v>70633412.469999999</v>
      </c>
    </row>
    <row r="77" spans="1:10" s="1472" customFormat="1" ht="24">
      <c r="A77" s="1470"/>
      <c r="B77" s="1486" t="s">
        <v>749</v>
      </c>
      <c r="C77" s="1486"/>
      <c r="D77" s="1487" t="s">
        <v>738</v>
      </c>
      <c r="E77" s="1470"/>
      <c r="F77" s="1488" t="s">
        <v>750</v>
      </c>
      <c r="G77" s="1488"/>
      <c r="H77" s="2023">
        <v>0</v>
      </c>
      <c r="I77" s="3333"/>
      <c r="J77" s="3334">
        <v>1112175.1399999999</v>
      </c>
    </row>
    <row r="78" spans="1:10" s="1472" customFormat="1" ht="12">
      <c r="A78" s="1470"/>
      <c r="B78" s="1470"/>
      <c r="C78" s="1470"/>
      <c r="D78" s="1470"/>
      <c r="E78" s="1470"/>
      <c r="F78" s="1495" t="s">
        <v>751</v>
      </c>
      <c r="G78" s="1495"/>
      <c r="H78" s="3178">
        <f>ROUND(SUM(H71:H77),2)</f>
        <v>53283.69</v>
      </c>
      <c r="I78" s="2016"/>
      <c r="J78" s="3178">
        <f>ROUND(SUM(J71:J77),2)</f>
        <v>16858177362.91</v>
      </c>
    </row>
    <row r="79" spans="1:10" s="1472" customFormat="1" ht="12">
      <c r="A79" s="1496" t="s">
        <v>752</v>
      </c>
      <c r="B79" s="1491"/>
      <c r="C79" s="1470"/>
      <c r="D79" s="1470"/>
      <c r="E79" s="1470"/>
      <c r="F79" s="1485"/>
      <c r="G79" s="1485"/>
      <c r="H79" s="2025"/>
      <c r="I79" s="2016"/>
      <c r="J79" s="2016"/>
    </row>
    <row r="80" spans="1:10" s="1472" customFormat="1" ht="12">
      <c r="A80" s="1496"/>
      <c r="B80" s="1486" t="s">
        <v>753</v>
      </c>
      <c r="C80" s="1496"/>
      <c r="D80" s="1487" t="s">
        <v>637</v>
      </c>
      <c r="E80" s="1470"/>
      <c r="F80" s="1488" t="s">
        <v>754</v>
      </c>
      <c r="G80" s="1488"/>
      <c r="H80" s="2023">
        <v>515447.4</v>
      </c>
      <c r="I80" s="3333"/>
      <c r="J80" s="3334">
        <v>6428328.1299999999</v>
      </c>
    </row>
    <row r="81" spans="1:10" s="1472" customFormat="1" ht="12">
      <c r="A81" s="1496"/>
      <c r="B81" s="1486" t="s">
        <v>755</v>
      </c>
      <c r="C81" s="1496"/>
      <c r="D81" s="1487" t="s">
        <v>756</v>
      </c>
      <c r="E81" s="1470"/>
      <c r="F81" s="1488" t="s">
        <v>757</v>
      </c>
      <c r="G81" s="1488"/>
      <c r="H81" s="2023">
        <v>0</v>
      </c>
      <c r="I81" s="3333"/>
      <c r="J81" s="3334">
        <v>7416726.4000000004</v>
      </c>
    </row>
    <row r="82" spans="1:10" s="1472" customFormat="1" ht="12">
      <c r="A82" s="1496"/>
      <c r="B82" s="1486" t="s">
        <v>758</v>
      </c>
      <c r="C82" s="1496"/>
      <c r="D82" s="1487" t="s">
        <v>759</v>
      </c>
      <c r="E82" s="1470"/>
      <c r="F82" s="1488" t="s">
        <v>760</v>
      </c>
      <c r="G82" s="1488"/>
      <c r="H82" s="2023">
        <v>0</v>
      </c>
      <c r="I82" s="3333"/>
      <c r="J82" s="3334">
        <v>7274394.3500000015</v>
      </c>
    </row>
    <row r="83" spans="1:10" s="1472" customFormat="1" ht="11.25" customHeight="1">
      <c r="A83" s="1496"/>
      <c r="B83" s="1486" t="s">
        <v>761</v>
      </c>
      <c r="C83" s="1496"/>
      <c r="D83" s="1487" t="s">
        <v>759</v>
      </c>
      <c r="E83" s="1470"/>
      <c r="F83" s="1488" t="s">
        <v>762</v>
      </c>
      <c r="G83" s="1488"/>
      <c r="H83" s="2023">
        <v>0</v>
      </c>
      <c r="I83" s="3333"/>
      <c r="J83" s="3334">
        <v>1618399.0999999999</v>
      </c>
    </row>
    <row r="84" spans="1:10" s="1472" customFormat="1" ht="11.25" customHeight="1">
      <c r="A84" s="1496"/>
      <c r="B84" s="1486" t="s">
        <v>763</v>
      </c>
      <c r="C84" s="1496"/>
      <c r="D84" s="1487" t="s">
        <v>759</v>
      </c>
      <c r="E84" s="1470"/>
      <c r="F84" s="1488" t="s">
        <v>764</v>
      </c>
      <c r="G84" s="1488"/>
      <c r="H84" s="2023">
        <v>0</v>
      </c>
      <c r="I84" s="3333"/>
      <c r="J84" s="3334">
        <v>1788999.08</v>
      </c>
    </row>
    <row r="85" spans="1:10" s="1472" customFormat="1" ht="11.25" customHeight="1">
      <c r="A85" s="1496"/>
      <c r="B85" s="1486" t="s">
        <v>765</v>
      </c>
      <c r="C85" s="1503"/>
      <c r="D85" s="1487" t="s">
        <v>759</v>
      </c>
      <c r="E85" s="1470"/>
      <c r="F85" s="1488" t="s">
        <v>766</v>
      </c>
      <c r="G85" s="1488"/>
      <c r="H85" s="2023">
        <v>0</v>
      </c>
      <c r="I85" s="3333"/>
      <c r="J85" s="3334">
        <v>2828986.58</v>
      </c>
    </row>
    <row r="86" spans="1:10" s="1472" customFormat="1" ht="24">
      <c r="A86" s="1496"/>
      <c r="B86" s="1486" t="s">
        <v>767</v>
      </c>
      <c r="C86" s="1503"/>
      <c r="D86" s="1487" t="s">
        <v>759</v>
      </c>
      <c r="E86" s="1470"/>
      <c r="F86" s="1488" t="s">
        <v>768</v>
      </c>
      <c r="G86" s="1488"/>
      <c r="H86" s="2023">
        <v>0</v>
      </c>
      <c r="I86" s="3333"/>
      <c r="J86" s="3334">
        <v>66946360.409999996</v>
      </c>
    </row>
    <row r="87" spans="1:10" s="1472" customFormat="1" ht="11.25" customHeight="1">
      <c r="A87" s="1496"/>
      <c r="B87" s="1496"/>
      <c r="C87" s="1496"/>
      <c r="D87" s="1496"/>
      <c r="E87" s="1470"/>
      <c r="F87" s="1495" t="s">
        <v>769</v>
      </c>
      <c r="G87" s="1495"/>
      <c r="H87" s="3178">
        <f>ROUND(SUM(H80:H86),2)</f>
        <v>515447.4</v>
      </c>
      <c r="I87" s="2016"/>
      <c r="J87" s="3178">
        <f>ROUND(SUM(J80:J86),2)</f>
        <v>94302194.049999997</v>
      </c>
    </row>
    <row r="88" spans="1:10" s="1472" customFormat="1" ht="12">
      <c r="A88" s="1484" t="s">
        <v>770</v>
      </c>
      <c r="B88" s="1470"/>
      <c r="C88" s="1470"/>
      <c r="D88" s="1470"/>
      <c r="E88" s="1470"/>
      <c r="F88" s="1485"/>
      <c r="G88" s="1485"/>
      <c r="H88" s="1500"/>
      <c r="I88" s="1504"/>
      <c r="J88" s="2016"/>
    </row>
    <row r="89" spans="1:10" s="1472" customFormat="1" ht="12.75" customHeight="1">
      <c r="A89" s="1470"/>
      <c r="B89" s="1491" t="s">
        <v>771</v>
      </c>
      <c r="C89" s="1491"/>
      <c r="D89" s="1470" t="s">
        <v>772</v>
      </c>
      <c r="E89" s="1470"/>
      <c r="F89" s="1470" t="s">
        <v>773</v>
      </c>
      <c r="G89" s="1470"/>
      <c r="H89" s="2023">
        <v>0</v>
      </c>
      <c r="I89" s="3333"/>
      <c r="J89" s="3334">
        <v>932109693.32000005</v>
      </c>
    </row>
    <row r="90" spans="1:10" s="1472" customFormat="1" ht="11.25" customHeight="1">
      <c r="A90" s="1470"/>
      <c r="B90" s="1491" t="s">
        <v>774</v>
      </c>
      <c r="C90" s="1491"/>
      <c r="D90" s="1470" t="s">
        <v>772</v>
      </c>
      <c r="E90" s="1470"/>
      <c r="F90" s="1470" t="s">
        <v>1337</v>
      </c>
      <c r="G90" s="1470"/>
      <c r="H90" s="2023">
        <v>2411262.9</v>
      </c>
      <c r="I90" s="3333"/>
      <c r="J90" s="3334">
        <v>36058558.009999998</v>
      </c>
    </row>
    <row r="91" spans="1:10" s="1472" customFormat="1" ht="11.25" customHeight="1">
      <c r="A91" s="1470"/>
      <c r="B91" s="1491" t="s">
        <v>775</v>
      </c>
      <c r="C91" s="1491"/>
      <c r="D91" s="1470" t="s">
        <v>772</v>
      </c>
      <c r="E91" s="1470"/>
      <c r="F91" s="1470" t="s">
        <v>776</v>
      </c>
      <c r="G91" s="1470"/>
      <c r="H91" s="2023">
        <v>0</v>
      </c>
      <c r="I91" s="3333"/>
      <c r="J91" s="3334">
        <v>23215239.280000001</v>
      </c>
    </row>
    <row r="92" spans="1:10" s="1472" customFormat="1" ht="11.25" customHeight="1">
      <c r="A92" s="1470"/>
      <c r="B92" s="1470"/>
      <c r="C92" s="1470"/>
      <c r="D92" s="1470"/>
      <c r="E92" s="1470"/>
      <c r="F92" s="1495" t="s">
        <v>777</v>
      </c>
      <c r="G92" s="1495"/>
      <c r="H92" s="3178">
        <f>ROUND(SUM(H89:H91),2)</f>
        <v>2411262.9</v>
      </c>
      <c r="I92" s="2017"/>
      <c r="J92" s="3178">
        <f>ROUND(SUM(J89:J91),2)</f>
        <v>991383490.61000001</v>
      </c>
    </row>
    <row r="93" spans="1:10" s="1472" customFormat="1" ht="11.25" customHeight="1">
      <c r="A93" s="1470"/>
      <c r="B93" s="1491"/>
      <c r="C93" s="1470"/>
      <c r="D93" s="1470"/>
      <c r="E93" s="1470"/>
      <c r="F93" s="1470"/>
      <c r="G93" s="1470"/>
      <c r="H93" s="1499"/>
      <c r="I93" s="1471"/>
      <c r="J93" s="2027"/>
    </row>
    <row r="94" spans="1:10" s="1472" customFormat="1" ht="12" customHeight="1" thickBot="1">
      <c r="A94" s="1470"/>
      <c r="B94" s="1470"/>
      <c r="C94" s="1470"/>
      <c r="D94" s="1470"/>
      <c r="E94" s="1470"/>
      <c r="F94" s="1495" t="s">
        <v>778</v>
      </c>
      <c r="G94" s="1505"/>
      <c r="H94" s="2028">
        <f>ROUND(SUM(H31+H43+H48+H65+H69+H78+H87+H92),2)</f>
        <v>36418842.68</v>
      </c>
      <c r="I94" s="1569"/>
      <c r="J94" s="2028">
        <f>ROUND(SUM(J31+J43+J48+J65+J69+J78+J87+J92),2)</f>
        <v>40380855936.559998</v>
      </c>
    </row>
    <row r="95" spans="1:10" s="1472" customFormat="1" ht="12" customHeight="1" thickTop="1">
      <c r="A95" s="1470"/>
      <c r="B95" s="1470"/>
      <c r="C95" s="1470"/>
      <c r="D95" s="1470"/>
      <c r="E95" s="1470"/>
      <c r="F95" s="1495"/>
      <c r="G95" s="1495"/>
      <c r="H95" s="2029"/>
      <c r="I95" s="1501"/>
      <c r="J95" s="2030"/>
    </row>
    <row r="96" spans="1:10" s="1472" customFormat="1" ht="12">
      <c r="A96" s="1506" t="s">
        <v>779</v>
      </c>
      <c r="B96" s="1470"/>
      <c r="C96" s="1470"/>
      <c r="D96" s="1470"/>
      <c r="E96" s="1470"/>
      <c r="F96" s="1495"/>
      <c r="G96" s="1495"/>
      <c r="H96" s="2029"/>
      <c r="I96" s="1501"/>
      <c r="J96" s="2030"/>
    </row>
    <row r="97" spans="1:10" s="1472" customFormat="1" ht="12">
      <c r="A97" s="1506" t="s">
        <v>780</v>
      </c>
      <c r="B97" s="1507"/>
      <c r="C97" s="1507"/>
      <c r="D97" s="1507"/>
      <c r="E97" s="1507"/>
      <c r="F97" s="1507"/>
      <c r="G97" s="1507"/>
      <c r="H97" s="1508"/>
      <c r="I97" s="1509"/>
      <c r="J97" s="1509"/>
    </row>
    <row r="98" spans="1:10" s="1472" customFormat="1" ht="12">
      <c r="A98" s="1506" t="s">
        <v>781</v>
      </c>
      <c r="B98" s="1510"/>
      <c r="C98" s="1511"/>
      <c r="D98" s="1510"/>
      <c r="E98" s="1511"/>
      <c r="F98" s="1511"/>
      <c r="G98" s="1511"/>
      <c r="H98" s="1512"/>
      <c r="I98" s="1513"/>
      <c r="J98" s="1513"/>
    </row>
    <row r="99" spans="1:10" s="1472" customFormat="1" ht="12">
      <c r="A99" s="1506" t="s">
        <v>782</v>
      </c>
      <c r="B99" s="1511"/>
      <c r="C99" s="1511"/>
      <c r="D99" s="1513"/>
      <c r="E99" s="1511"/>
      <c r="F99" s="1511"/>
      <c r="G99" s="1511"/>
      <c r="H99" s="1512"/>
      <c r="I99" s="1513"/>
      <c r="J99" s="1513"/>
    </row>
    <row r="100" spans="1:10" s="1472" customFormat="1" ht="12">
      <c r="A100" s="1506" t="s">
        <v>783</v>
      </c>
      <c r="B100" s="1514"/>
      <c r="C100" s="1515"/>
      <c r="D100" s="1513"/>
      <c r="E100" s="1515"/>
      <c r="F100" s="1515"/>
      <c r="G100" s="1515"/>
      <c r="H100" s="1516"/>
      <c r="I100" s="1517"/>
      <c r="J100" s="1517"/>
    </row>
    <row r="101" spans="1:10">
      <c r="A101" s="1518"/>
      <c r="B101" s="1514"/>
      <c r="C101" s="1515"/>
      <c r="D101" s="1517"/>
      <c r="E101" s="1515"/>
      <c r="F101" s="1515"/>
      <c r="G101" s="1515"/>
      <c r="H101" s="1516"/>
      <c r="I101" s="1517"/>
      <c r="J101" s="1517"/>
    </row>
    <row r="102" spans="1:10">
      <c r="A102" s="1519"/>
      <c r="B102" s="1520"/>
      <c r="C102" s="1520"/>
      <c r="D102" s="1517"/>
      <c r="E102" s="1519"/>
      <c r="F102" s="1519"/>
      <c r="G102" s="1519"/>
      <c r="H102" s="1521"/>
      <c r="I102" s="1522"/>
      <c r="J102" s="2031"/>
    </row>
    <row r="103" spans="1:10">
      <c r="A103" s="1519"/>
      <c r="B103" s="1520"/>
      <c r="C103" s="1520"/>
      <c r="D103" s="1517"/>
      <c r="E103" s="1519"/>
      <c r="F103" s="1519"/>
      <c r="G103" s="1519"/>
      <c r="H103" s="1521"/>
      <c r="I103" s="1522"/>
      <c r="J103" s="2031"/>
    </row>
    <row r="104" spans="1:10">
      <c r="B104" s="1520"/>
      <c r="C104" s="1520"/>
      <c r="D104" s="1523"/>
      <c r="E104" s="1519"/>
      <c r="F104" s="1519"/>
      <c r="G104" s="1519"/>
      <c r="H104" s="1521"/>
      <c r="I104" s="1522"/>
      <c r="J104" s="2031"/>
    </row>
    <row r="105" spans="1:10">
      <c r="B105" s="1524"/>
      <c r="C105" s="1524"/>
      <c r="D105" s="1517"/>
      <c r="E105" s="1525"/>
      <c r="F105" s="1525"/>
      <c r="G105" s="1525"/>
      <c r="H105" s="1526"/>
      <c r="I105" s="1527"/>
      <c r="J105" s="2032"/>
    </row>
    <row r="106" spans="1:10">
      <c r="B106" s="1524"/>
      <c r="C106" s="1524"/>
      <c r="D106" s="1525"/>
      <c r="E106" s="1525"/>
      <c r="F106" s="1525"/>
      <c r="G106" s="1525"/>
      <c r="H106" s="1526"/>
      <c r="I106" s="1527"/>
      <c r="J106" s="2032"/>
    </row>
    <row r="107" spans="1:10">
      <c r="B107" s="1524"/>
      <c r="C107" s="1524"/>
      <c r="D107" s="1525"/>
      <c r="E107" s="1525"/>
      <c r="F107" s="1525"/>
      <c r="G107" s="1525"/>
      <c r="H107" s="1526"/>
      <c r="I107" s="1527"/>
      <c r="J107" s="2032"/>
    </row>
    <row r="108" spans="1:10">
      <c r="B108" s="1524"/>
      <c r="C108" s="1524"/>
      <c r="D108" s="1525"/>
      <c r="E108" s="1525"/>
      <c r="F108" s="1525"/>
      <c r="G108" s="1525"/>
      <c r="H108" s="1526"/>
      <c r="I108" s="1527"/>
      <c r="J108" s="2032"/>
    </row>
  </sheetData>
  <customSheetViews>
    <customSheetView guid="{BD09DBC2-63A5-4D9C-9B00-4281066E9389}" showGridLines="0" fitToPage="1" printArea="1" topLeftCell="A70">
      <selection activeCell="K105" sqref="K105"/>
      <rowBreaks count="2" manualBreakCount="2">
        <brk id="65" max="9" man="1"/>
        <brk id="115" max="16383" man="1"/>
      </rowBreaks>
      <pageMargins left="0.45" right="0.45" top="0.5" bottom="0.5" header="0.3" footer="0.25"/>
      <pageSetup scale="76" firstPageNumber="50" fitToHeight="2" orientation="landscape" useFirstPageNumber="1" r:id="rId1"/>
      <headerFooter scaleWithDoc="0" alignWithMargins="0">
        <oddFooter>&amp;C&amp;8&amp;P</oddFooter>
      </headerFooter>
    </customSheetView>
    <customSheetView guid="{C82E0A7D-2B5B-48FC-A705-3168E651E04C}" showGridLines="0" printArea="1" topLeftCell="A76">
      <selection sqref="A1:XFD1048576"/>
      <rowBreaks count="2" manualBreakCount="2">
        <brk id="65" max="9" man="1"/>
        <brk id="115" max="16383" man="1"/>
      </rowBreaks>
      <pageMargins left="0.45" right="0.45" top="0.5" bottom="0.5" header="0.3" footer="0.25"/>
      <pageSetup scale="59" firstPageNumber="50" orientation="landscape" useFirstPageNumber="1" r:id="rId2"/>
      <headerFooter scaleWithDoc="0" alignWithMargins="0">
        <oddFooter>&amp;C&amp;8&amp;P</oddFooter>
      </headerFooter>
    </customSheetView>
    <customSheetView guid="{A8B05C3B-0E7E-44A3-A097-AF4C5C09F04E}" showGridLines="0" printArea="1" topLeftCell="A76">
      <selection sqref="A1:XFD1048576"/>
      <rowBreaks count="2" manualBreakCount="2">
        <brk id="65" max="9" man="1"/>
        <brk id="115" max="16383" man="1"/>
      </rowBreaks>
      <pageMargins left="0.45" right="0.45" top="0.5" bottom="0.5" header="0.3" footer="0.25"/>
      <pageSetup scale="59" firstPageNumber="50" orientation="landscape" useFirstPageNumber="1" r:id="rId3"/>
      <headerFooter scaleWithDoc="0" alignWithMargins="0">
        <oddFooter>&amp;C&amp;8&amp;P</oddFooter>
      </headerFooter>
    </customSheetView>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4"/>
      <headerFooter scaleWithDoc="0" alignWithMargins="0">
        <oddFooter>&amp;C&amp;8&amp;P</oddFooter>
      </headerFooter>
    </customSheetView>
    <customSheetView guid="{4735AAE3-27B4-4549-AAB4-50ACA997F5F5}" showGridLines="0" printArea="1">
      <selection activeCell="D101" sqref="D101"/>
      <rowBreaks count="2" manualBreakCount="2">
        <brk id="65" max="9" man="1"/>
        <brk id="115" max="16383" man="1"/>
      </rowBreaks>
      <pageMargins left="0.45" right="0.45" top="0.5" bottom="0.5" header="0.3" footer="0.25"/>
      <pageSetup scale="59" firstPageNumber="50" orientation="landscape" useFirstPageNumber="1" r:id="rId5"/>
      <headerFooter scaleWithDoc="0" alignWithMargins="0">
        <oddFooter>&amp;C&amp;8&amp;P</oddFooter>
      </headerFooter>
    </customSheetView>
    <customSheetView guid="{80622567-647A-4891-B8EE-6B9E2C4DAC44}" showGridLines="0" printArea="1" topLeftCell="A55">
      <selection activeCell="J83" sqref="J83"/>
      <rowBreaks count="2" manualBreakCount="2">
        <brk id="65" max="9" man="1"/>
        <brk id="115" max="16383" man="1"/>
      </rowBreaks>
      <pageMargins left="0.45" right="0.45" top="0.5" bottom="0.5" header="0.3" footer="0.25"/>
      <pageSetup scale="59" firstPageNumber="50" orientation="landscape" useFirstPageNumber="1" r:id="rId6"/>
      <headerFooter scaleWithDoc="0" alignWithMargins="0">
        <oddFooter>&amp;C&amp;8&amp;P</oddFooter>
      </headerFooter>
    </customSheetView>
    <customSheetView guid="{A97EE6C3-4DA8-41BD-BE43-F596EFCB43CA}" showGridLines="0" printArea="1">
      <selection sqref="A1:XFD1048576"/>
      <rowBreaks count="2" manualBreakCount="2">
        <brk id="65" max="9" man="1"/>
        <brk id="115" max="16383" man="1"/>
      </rowBreaks>
      <pageMargins left="0.45" right="0.45" top="0.5" bottom="0.5" header="0.3" footer="0.25"/>
      <pageSetup scale="59" firstPageNumber="50" orientation="landscape" useFirstPageNumber="1" r:id="rId7"/>
      <headerFooter scaleWithDoc="0" alignWithMargins="0">
        <oddFooter>&amp;C&amp;8&amp;P</oddFooter>
      </headerFooter>
    </customSheetView>
    <customSheetView guid="{90B76C5A-2FC4-40F0-8436-3E4F075A4887}" scale="80" showGridLines="0" printArea="1">
      <selection activeCell="J83" sqref="J83"/>
      <rowBreaks count="2" manualBreakCount="2">
        <brk id="65" max="9" man="1"/>
        <brk id="115" max="16383" man="1"/>
      </rowBreaks>
      <pageMargins left="0.45" right="0.45" top="0.5" bottom="0.5" header="0.3" footer="0.25"/>
      <pageSetup scale="59" firstPageNumber="50" orientation="landscape" useFirstPageNumber="1" r:id="rId8"/>
      <headerFooter scaleWithDoc="0" alignWithMargins="0">
        <oddFooter>&amp;C&amp;8&amp;P</oddFooter>
      </headerFooter>
    </customSheetView>
  </customSheetViews>
  <pageMargins left="0.45" right="0.45" top="0.5" bottom="0.5" header="0.3" footer="0.25"/>
  <pageSetup scale="76" firstPageNumber="50" fitToHeight="2" orientation="landscape" useFirstPageNumber="1" r:id="rId9"/>
  <headerFooter scaleWithDoc="0" alignWithMargins="0">
    <oddFooter>&amp;C&amp;8&amp;P</oddFooter>
  </headerFooter>
  <rowBreaks count="2" manualBreakCount="2">
    <brk id="65" max="9" man="1"/>
    <brk id="115" max="16383" man="1"/>
  </rowBreaks>
  <ignoredErrors>
    <ignoredError sqref="B10:B102" numberStoredAsText="1"/>
  </ignoredErrors>
</worksheet>
</file>

<file path=xl/worksheets/sheet4.xml><?xml version="1.0" encoding="utf-8"?>
<worksheet xmlns="http://schemas.openxmlformats.org/spreadsheetml/2006/main" xmlns:r="http://schemas.openxmlformats.org/officeDocument/2006/relationships">
  <sheetPr codeName="Sheet7">
    <pageSetUpPr autoPageBreaks="0"/>
  </sheetPr>
  <dimension ref="A1:U181"/>
  <sheetViews>
    <sheetView showGridLines="0" zoomScaleNormal="90" zoomScaleSheetLayoutView="100" workbookViewId="0"/>
  </sheetViews>
  <sheetFormatPr defaultRowHeight="15.75"/>
  <cols>
    <col min="1" max="1" width="3.5546875" style="1213" customWidth="1"/>
    <col min="2" max="2" width="8.44140625" style="1300" customWidth="1"/>
    <col min="3" max="3" width="12.21875" style="1300" customWidth="1"/>
    <col min="4" max="4" width="15" style="1067" customWidth="1"/>
    <col min="5" max="5" width="7.5546875" style="1064" customWidth="1"/>
    <col min="6" max="6" width="19.109375" style="1213" customWidth="1"/>
    <col min="7" max="7" width="10.33203125" style="1213" customWidth="1"/>
    <col min="8" max="8" width="9.109375" style="1055" customWidth="1"/>
    <col min="9" max="9" width="5.5546875" style="1063" customWidth="1"/>
    <col min="10" max="10" width="9.33203125" style="1063" customWidth="1"/>
    <col min="11" max="11" width="8.33203125" style="1064" customWidth="1"/>
    <col min="12" max="12" width="3.88671875" style="1064" customWidth="1"/>
    <col min="13" max="13" width="11.21875" style="1064" customWidth="1"/>
    <col min="14" max="14" width="10.77734375" style="1064" customWidth="1"/>
    <col min="15" max="15" width="8.33203125" style="1299" customWidth="1"/>
    <col min="16" max="16" width="9.109375" style="1299" customWidth="1"/>
    <col min="17" max="17" width="8" style="1299" customWidth="1"/>
    <col min="18" max="18" width="3.6640625" style="1299" customWidth="1"/>
    <col min="19" max="19" width="13.21875" style="1299" customWidth="1"/>
    <col min="20" max="20" width="12.109375" style="1299" customWidth="1"/>
    <col min="21" max="21" width="12.21875" style="1299" customWidth="1"/>
    <col min="22" max="16384" width="8.88671875" style="1299"/>
  </cols>
  <sheetData>
    <row r="1" spans="1:20">
      <c r="A1" s="1227" t="s">
        <v>1322</v>
      </c>
    </row>
    <row r="2" spans="1:20">
      <c r="A2" s="1051" t="s">
        <v>1082</v>
      </c>
      <c r="B2" s="1052"/>
      <c r="C2" s="1053"/>
      <c r="D2" s="1054"/>
      <c r="E2" s="1055"/>
      <c r="F2" s="1055"/>
      <c r="G2" s="1055"/>
      <c r="I2" s="1056"/>
      <c r="J2" s="1056"/>
      <c r="K2" s="1055"/>
      <c r="L2" s="1055"/>
      <c r="M2" s="1055"/>
      <c r="N2" s="1057"/>
      <c r="O2" s="1058"/>
      <c r="P2" s="1971" t="s">
        <v>1315</v>
      </c>
      <c r="Q2" s="1060"/>
      <c r="R2" s="1060"/>
      <c r="S2" s="1061"/>
      <c r="T2" s="1062"/>
    </row>
    <row r="3" spans="1:20">
      <c r="A3" s="1052"/>
      <c r="B3" s="1052"/>
      <c r="C3" s="1053"/>
      <c r="D3" s="1054"/>
      <c r="E3" s="1055"/>
      <c r="F3" s="1055"/>
      <c r="G3" s="1055"/>
      <c r="I3" s="1300"/>
      <c r="J3" s="1300"/>
      <c r="K3" s="1067"/>
      <c r="M3" s="1213"/>
      <c r="N3" s="1213"/>
      <c r="P3" s="1972" t="s">
        <v>1638</v>
      </c>
      <c r="T3" s="1062"/>
    </row>
    <row r="4" spans="1:20" ht="13.5" customHeight="1">
      <c r="T4" s="1062"/>
    </row>
    <row r="5" spans="1:20" ht="13.5" customHeight="1">
      <c r="A5" s="1065" t="s">
        <v>1083</v>
      </c>
      <c r="B5" s="1054" t="s">
        <v>1084</v>
      </c>
      <c r="C5" s="1054"/>
      <c r="D5" s="1054"/>
      <c r="E5" s="1055"/>
      <c r="F5" s="1055"/>
      <c r="G5" s="1055"/>
      <c r="I5" s="1300"/>
      <c r="J5" s="1056" t="s">
        <v>1660</v>
      </c>
      <c r="P5" s="3181">
        <v>1.6</v>
      </c>
      <c r="T5" s="1062"/>
    </row>
    <row r="6" spans="1:20" ht="13.5" customHeight="1">
      <c r="A6" s="1065"/>
      <c r="B6" s="1054" t="s">
        <v>1085</v>
      </c>
      <c r="C6" s="1054"/>
      <c r="D6" s="1054"/>
      <c r="E6" s="1055"/>
      <c r="F6" s="1055"/>
      <c r="G6" s="1055"/>
      <c r="J6" s="1056" t="s">
        <v>1659</v>
      </c>
      <c r="P6" s="3181">
        <v>103.7</v>
      </c>
      <c r="Q6" s="1213"/>
    </row>
    <row r="7" spans="1:20" ht="13.5" customHeight="1">
      <c r="A7" s="1065"/>
      <c r="B7" s="1054" t="s">
        <v>1086</v>
      </c>
      <c r="C7" s="1054"/>
      <c r="D7" s="1054"/>
      <c r="E7" s="1055"/>
      <c r="F7" s="1055"/>
      <c r="G7" s="1055"/>
      <c r="J7" s="1056" t="s">
        <v>1593</v>
      </c>
      <c r="K7" s="3313"/>
      <c r="P7" s="1066">
        <v>0.7</v>
      </c>
      <c r="Q7" s="1213"/>
    </row>
    <row r="8" spans="1:20" ht="12.95" customHeight="1">
      <c r="A8" s="1065"/>
      <c r="B8" s="1054" t="s">
        <v>1087</v>
      </c>
      <c r="C8" s="1054"/>
      <c r="D8" s="1054"/>
      <c r="E8" s="1055"/>
      <c r="F8" s="1055"/>
      <c r="G8" s="1055"/>
      <c r="J8" s="1056" t="s">
        <v>1678</v>
      </c>
      <c r="K8" s="1054"/>
      <c r="P8" s="1066">
        <v>23.4</v>
      </c>
      <c r="Q8" s="1055"/>
    </row>
    <row r="9" spans="1:20" ht="12.75" customHeight="1">
      <c r="F9" s="3177"/>
      <c r="J9" s="1056" t="s">
        <v>1420</v>
      </c>
      <c r="K9" s="2903"/>
      <c r="L9" s="1055"/>
      <c r="P9" s="1066">
        <v>2</v>
      </c>
    </row>
    <row r="10" spans="1:20" ht="12.75" customHeight="1">
      <c r="A10" s="1055"/>
      <c r="B10" s="1054"/>
      <c r="C10" s="1056" t="s">
        <v>1148</v>
      </c>
      <c r="D10" s="1068"/>
      <c r="E10" s="1055"/>
      <c r="F10" s="1068">
        <v>111</v>
      </c>
      <c r="G10" s="1055" t="s">
        <v>1088</v>
      </c>
      <c r="I10" s="1300"/>
      <c r="J10" s="1056" t="s">
        <v>1583</v>
      </c>
      <c r="K10" s="1068"/>
      <c r="L10" s="1055"/>
      <c r="P10" s="1066">
        <v>0.5</v>
      </c>
    </row>
    <row r="11" spans="1:20" ht="12.75" customHeight="1">
      <c r="A11" s="1055"/>
      <c r="B11" s="1056"/>
      <c r="C11" s="1056" t="s">
        <v>1376</v>
      </c>
      <c r="D11" s="1070"/>
      <c r="E11" s="1055"/>
      <c r="F11" s="3311">
        <v>6.1</v>
      </c>
      <c r="G11" s="1055"/>
      <c r="J11" s="1056" t="s">
        <v>1091</v>
      </c>
      <c r="K11" s="2903"/>
      <c r="L11" s="1055"/>
      <c r="P11" s="3181">
        <v>53</v>
      </c>
    </row>
    <row r="12" spans="1:20" ht="12.75" customHeight="1">
      <c r="A12" s="1055"/>
      <c r="B12" s="1056"/>
      <c r="C12" s="1056" t="s">
        <v>1089</v>
      </c>
      <c r="D12" s="1070"/>
      <c r="E12" s="1055"/>
      <c r="F12" s="1071">
        <v>127.6</v>
      </c>
      <c r="G12" s="1055"/>
      <c r="J12" s="1056" t="s">
        <v>1408</v>
      </c>
      <c r="K12" s="1068"/>
      <c r="L12" s="1055"/>
      <c r="P12" s="1066">
        <v>22.9</v>
      </c>
    </row>
    <row r="13" spans="1:20" ht="12.75" customHeight="1">
      <c r="A13" s="1055"/>
      <c r="B13" s="1056"/>
      <c r="C13" s="1056" t="s">
        <v>1090</v>
      </c>
      <c r="D13" s="1070"/>
      <c r="E13" s="1055"/>
      <c r="F13" s="1071">
        <v>13.2</v>
      </c>
      <c r="I13" s="1056"/>
      <c r="J13" s="1056" t="s">
        <v>1584</v>
      </c>
      <c r="K13" s="2903"/>
      <c r="L13" s="1055"/>
      <c r="P13" s="3181">
        <v>20</v>
      </c>
      <c r="T13" s="1055"/>
    </row>
    <row r="14" spans="1:20" ht="12.75" customHeight="1">
      <c r="A14" s="1055"/>
      <c r="B14" s="1056"/>
      <c r="C14" s="1056" t="s">
        <v>1377</v>
      </c>
      <c r="D14" s="1070"/>
      <c r="E14" s="1055"/>
      <c r="F14" s="3179">
        <v>419.8</v>
      </c>
      <c r="G14" s="1055"/>
      <c r="J14" s="1056" t="s">
        <v>1618</v>
      </c>
      <c r="K14" s="2903"/>
      <c r="L14" s="1055"/>
      <c r="P14" s="3181">
        <v>3</v>
      </c>
      <c r="T14" s="1072"/>
    </row>
    <row r="15" spans="1:20" ht="12.75" customHeight="1">
      <c r="A15" s="1055"/>
      <c r="B15" s="1056"/>
      <c r="C15" s="1056" t="s">
        <v>1149</v>
      </c>
      <c r="D15" s="1070"/>
      <c r="E15" s="1055"/>
      <c r="F15" s="3311">
        <v>313.2</v>
      </c>
      <c r="G15" s="1055"/>
      <c r="J15" s="1056" t="s">
        <v>1409</v>
      </c>
      <c r="K15" s="2903"/>
      <c r="L15" s="1055"/>
      <c r="P15" s="3181">
        <v>34.9</v>
      </c>
      <c r="R15" s="1055"/>
      <c r="T15" s="1072"/>
    </row>
    <row r="16" spans="1:20" ht="12.75" customHeight="1">
      <c r="A16" s="1055"/>
      <c r="B16" s="1056"/>
      <c r="C16" s="1056" t="s">
        <v>1092</v>
      </c>
      <c r="D16" s="1073"/>
      <c r="E16" s="1055"/>
      <c r="F16" s="3180">
        <v>239.8</v>
      </c>
      <c r="G16" s="1055"/>
      <c r="J16" s="1056" t="s">
        <v>1590</v>
      </c>
      <c r="K16" s="2903"/>
      <c r="L16" s="1055"/>
      <c r="P16" s="3181">
        <v>15</v>
      </c>
    </row>
    <row r="17" spans="1:18" ht="12.75" customHeight="1">
      <c r="A17" s="1055"/>
      <c r="B17" s="1056"/>
      <c r="C17" s="1056" t="s">
        <v>1346</v>
      </c>
      <c r="D17" s="1073"/>
      <c r="E17" s="1055"/>
      <c r="F17" s="3179">
        <v>71.2</v>
      </c>
      <c r="G17" s="1055"/>
      <c r="J17" s="1056" t="s">
        <v>1378</v>
      </c>
      <c r="K17" s="2903"/>
      <c r="L17" s="1055"/>
      <c r="P17" s="3181">
        <v>3.2</v>
      </c>
    </row>
    <row r="18" spans="1:18" ht="12.75" customHeight="1">
      <c r="J18" s="1056" t="s">
        <v>1585</v>
      </c>
      <c r="K18" s="1068"/>
      <c r="L18" s="1055"/>
      <c r="N18" s="1213"/>
      <c r="P18" s="1066">
        <v>1.7</v>
      </c>
    </row>
    <row r="19" spans="1:18" ht="12.75" customHeight="1">
      <c r="A19" s="1065" t="s">
        <v>1093</v>
      </c>
      <c r="B19" s="1054" t="s">
        <v>1345</v>
      </c>
      <c r="C19" s="1054"/>
      <c r="D19" s="1054"/>
      <c r="E19" s="1055"/>
      <c r="F19" s="1055"/>
      <c r="G19" s="1055"/>
    </row>
    <row r="20" spans="1:18" ht="12.95" customHeight="1">
      <c r="A20" s="1065"/>
      <c r="B20" s="1054" t="s">
        <v>1094</v>
      </c>
      <c r="C20" s="1054"/>
      <c r="D20" s="1054"/>
      <c r="E20" s="1055"/>
      <c r="F20" s="1055"/>
      <c r="G20" s="1055"/>
      <c r="I20" s="1052" t="s">
        <v>1658</v>
      </c>
      <c r="J20" s="1052"/>
      <c r="K20" s="1055"/>
      <c r="L20" s="1055"/>
      <c r="M20" s="1055"/>
      <c r="N20" s="1055"/>
      <c r="P20" s="3181"/>
    </row>
    <row r="21" spans="1:18" ht="12.75" customHeight="1">
      <c r="A21" s="1065"/>
      <c r="B21" s="1054"/>
      <c r="C21" s="1054"/>
      <c r="D21" s="1054"/>
      <c r="E21" s="1055"/>
      <c r="F21" s="1055"/>
      <c r="G21" s="1055"/>
    </row>
    <row r="22" spans="1:18" ht="12.75" customHeight="1">
      <c r="A22" s="1055"/>
      <c r="B22" s="1074" t="s">
        <v>1095</v>
      </c>
      <c r="C22" s="1074"/>
      <c r="D22" s="1054"/>
      <c r="E22" s="1055"/>
      <c r="F22" s="1055"/>
      <c r="G22" s="1055"/>
      <c r="I22" s="1056"/>
      <c r="J22" s="1056" t="s">
        <v>1098</v>
      </c>
      <c r="K22" s="1068"/>
      <c r="L22" s="1055"/>
      <c r="M22" s="1299"/>
      <c r="P22" s="1075">
        <v>5062.7</v>
      </c>
      <c r="Q22" s="1055" t="s">
        <v>1088</v>
      </c>
    </row>
    <row r="23" spans="1:18" ht="12.75" customHeight="1">
      <c r="G23" s="1055"/>
      <c r="I23" s="1056"/>
      <c r="J23" s="1056" t="s">
        <v>1100</v>
      </c>
      <c r="K23" s="1068"/>
      <c r="L23" s="1055"/>
      <c r="M23" s="1299"/>
      <c r="P23" s="1066">
        <v>1697.2</v>
      </c>
      <c r="Q23" s="1069"/>
    </row>
    <row r="24" spans="1:18" ht="13.35" customHeight="1">
      <c r="C24" s="1056" t="s">
        <v>1096</v>
      </c>
      <c r="D24" s="1068"/>
      <c r="E24" s="1055"/>
      <c r="F24" s="1075">
        <v>345.4</v>
      </c>
      <c r="G24" s="1055" t="s">
        <v>1088</v>
      </c>
      <c r="I24" s="1056"/>
      <c r="J24" s="1056" t="s">
        <v>1101</v>
      </c>
      <c r="K24" s="1068"/>
      <c r="L24" s="1055"/>
      <c r="M24" s="1299"/>
      <c r="P24" s="1066">
        <v>1696.7</v>
      </c>
      <c r="Q24" s="1213"/>
    </row>
    <row r="25" spans="1:18" ht="12.75" customHeight="1">
      <c r="A25" s="1055"/>
      <c r="B25" s="1056"/>
      <c r="C25" s="1056" t="s">
        <v>1097</v>
      </c>
      <c r="D25" s="1068"/>
      <c r="E25" s="1055"/>
      <c r="F25" s="1066">
        <v>569.1</v>
      </c>
      <c r="J25" s="1056" t="s">
        <v>1102</v>
      </c>
      <c r="K25" s="1068"/>
      <c r="L25" s="1055"/>
      <c r="M25" s="1299"/>
      <c r="P25" s="1066">
        <v>489.4</v>
      </c>
      <c r="Q25" s="1213"/>
    </row>
    <row r="26" spans="1:18" ht="12.75" customHeight="1">
      <c r="A26" s="1055"/>
      <c r="B26" s="1056"/>
      <c r="C26" s="1056" t="s">
        <v>1407</v>
      </c>
      <c r="D26" s="1068"/>
      <c r="E26" s="1055"/>
      <c r="F26" s="1066">
        <v>9.9</v>
      </c>
      <c r="G26" s="1055"/>
      <c r="J26" s="1056"/>
      <c r="P26" s="1066"/>
    </row>
    <row r="27" spans="1:18" ht="12.75" customHeight="1">
      <c r="A27" s="1055"/>
      <c r="B27" s="1056"/>
      <c r="C27" s="1056" t="s">
        <v>1099</v>
      </c>
      <c r="D27" s="1068"/>
      <c r="E27" s="1055"/>
      <c r="F27" s="1066">
        <v>18.600000000000001</v>
      </c>
      <c r="G27" s="1055"/>
      <c r="I27" s="1055" t="s">
        <v>1367</v>
      </c>
      <c r="J27" s="1056"/>
      <c r="K27" s="1055"/>
      <c r="L27" s="1055"/>
      <c r="M27" s="1055"/>
      <c r="N27" s="1055"/>
      <c r="O27" s="1066"/>
    </row>
    <row r="28" spans="1:18" ht="12.95" customHeight="1">
      <c r="A28" s="1055"/>
      <c r="B28" s="1056"/>
      <c r="C28" s="1056" t="s">
        <v>1621</v>
      </c>
      <c r="D28" s="1068"/>
      <c r="E28" s="1055"/>
      <c r="F28" s="1066">
        <v>7</v>
      </c>
      <c r="I28" s="1055" t="s">
        <v>1368</v>
      </c>
      <c r="J28" s="1056"/>
      <c r="K28" s="1055"/>
      <c r="L28" s="1055"/>
      <c r="M28" s="1055"/>
      <c r="N28" s="1055"/>
      <c r="O28" s="1066"/>
    </row>
    <row r="29" spans="1:18" ht="12.75" customHeight="1">
      <c r="A29" s="1055"/>
      <c r="B29" s="1056"/>
      <c r="C29" s="1056" t="s">
        <v>1591</v>
      </c>
      <c r="D29" s="1068"/>
      <c r="E29" s="1055"/>
      <c r="F29" s="1066">
        <v>15.3</v>
      </c>
      <c r="G29" s="1055"/>
      <c r="I29" s="1055" t="s">
        <v>1670</v>
      </c>
      <c r="J29" s="1056"/>
      <c r="K29" s="1055"/>
      <c r="L29" s="1055"/>
      <c r="M29" s="1055"/>
      <c r="N29" s="1055"/>
      <c r="O29" s="1066"/>
      <c r="R29" s="1055"/>
    </row>
    <row r="30" spans="1:18" ht="12.75" customHeight="1">
      <c r="C30" s="1056" t="s">
        <v>1103</v>
      </c>
      <c r="D30" s="1068"/>
      <c r="E30" s="1055"/>
      <c r="F30" s="1066">
        <v>89.1</v>
      </c>
      <c r="R30" s="1072"/>
    </row>
    <row r="31" spans="1:18" ht="12.75" customHeight="1">
      <c r="A31" s="1055"/>
      <c r="C31" s="1056" t="s">
        <v>1405</v>
      </c>
      <c r="D31" s="1068"/>
      <c r="E31" s="1055"/>
      <c r="F31" s="1066">
        <v>33</v>
      </c>
    </row>
    <row r="32" spans="1:18" ht="12.95" customHeight="1">
      <c r="A32" s="1055"/>
      <c r="C32" s="1056" t="s">
        <v>1412</v>
      </c>
      <c r="D32" s="1068"/>
      <c r="E32" s="1055"/>
      <c r="F32" s="1066">
        <v>2.5</v>
      </c>
      <c r="I32" s="1052" t="s">
        <v>1662</v>
      </c>
      <c r="J32" s="1056"/>
      <c r="K32" s="1055"/>
      <c r="L32" s="1055"/>
      <c r="M32" s="1055"/>
      <c r="N32" s="1055"/>
      <c r="O32" s="1076"/>
      <c r="P32" s="1076"/>
    </row>
    <row r="33" spans="1:20" ht="12.75" customHeight="1">
      <c r="C33" s="1056" t="s">
        <v>1657</v>
      </c>
      <c r="D33" s="3312"/>
      <c r="E33" s="1055"/>
      <c r="F33" s="3181">
        <v>14.3</v>
      </c>
      <c r="I33" s="1054" t="s">
        <v>1679</v>
      </c>
      <c r="J33" s="1056"/>
      <c r="K33" s="1055"/>
      <c r="L33" s="1055"/>
      <c r="M33" s="1055"/>
      <c r="N33" s="1055"/>
      <c r="O33" s="1076"/>
      <c r="P33" s="1076"/>
    </row>
    <row r="34" spans="1:20" ht="12.75" customHeight="1">
      <c r="A34" s="1055"/>
      <c r="B34" s="1056"/>
      <c r="C34" s="1056" t="s">
        <v>1617</v>
      </c>
      <c r="D34" s="3309"/>
      <c r="E34" s="3310"/>
      <c r="F34" s="1066">
        <v>5.9</v>
      </c>
    </row>
    <row r="35" spans="1:20" ht="12.75" customHeight="1">
      <c r="A35" s="1055"/>
      <c r="C35" s="1056" t="s">
        <v>1371</v>
      </c>
      <c r="D35" s="1068"/>
      <c r="E35" s="1055"/>
      <c r="F35" s="1066">
        <v>394.1</v>
      </c>
    </row>
    <row r="36" spans="1:20" ht="12.75" customHeight="1">
      <c r="C36" s="1056" t="s">
        <v>1406</v>
      </c>
      <c r="D36" s="1068"/>
      <c r="E36" s="1055"/>
      <c r="F36" s="1066">
        <v>714.1</v>
      </c>
      <c r="H36" s="1065" t="s">
        <v>1106</v>
      </c>
      <c r="I36" s="1055" t="s">
        <v>1150</v>
      </c>
      <c r="J36" s="1056"/>
      <c r="K36" s="1055"/>
      <c r="L36" s="1055"/>
      <c r="M36" s="1055"/>
      <c r="N36" s="1055"/>
      <c r="O36" s="1076"/>
      <c r="P36" s="1076"/>
      <c r="T36" s="1301"/>
    </row>
    <row r="37" spans="1:20" ht="12.75" customHeight="1">
      <c r="A37" s="1055"/>
      <c r="B37" s="1056"/>
      <c r="C37" s="1056" t="s">
        <v>1372</v>
      </c>
      <c r="D37" s="1068"/>
      <c r="E37" s="1055"/>
      <c r="F37" s="1066">
        <v>58</v>
      </c>
      <c r="I37" s="1055" t="s">
        <v>1379</v>
      </c>
      <c r="J37" s="1056"/>
      <c r="K37" s="1055"/>
      <c r="L37" s="1055"/>
      <c r="M37" s="1055"/>
      <c r="N37" s="1055"/>
      <c r="O37" s="1076"/>
      <c r="P37" s="1076"/>
      <c r="T37" s="1301"/>
    </row>
    <row r="38" spans="1:20" ht="12.95" customHeight="1">
      <c r="A38" s="1055"/>
      <c r="B38" s="1056"/>
      <c r="C38" s="1056" t="s">
        <v>1104</v>
      </c>
      <c r="D38" s="1068"/>
      <c r="E38" s="1055"/>
      <c r="F38" s="1066">
        <v>253.4</v>
      </c>
      <c r="I38" s="1055" t="s">
        <v>1388</v>
      </c>
      <c r="J38" s="1056"/>
      <c r="K38" s="1055"/>
      <c r="L38" s="1055"/>
      <c r="M38" s="1055"/>
      <c r="N38" s="1055"/>
      <c r="O38" s="1076"/>
      <c r="P38" s="1076"/>
      <c r="T38" s="1301"/>
    </row>
    <row r="39" spans="1:20" ht="12.75" customHeight="1">
      <c r="A39" s="1055"/>
      <c r="C39" s="1056" t="s">
        <v>1366</v>
      </c>
      <c r="D39" s="1068"/>
      <c r="E39" s="1055"/>
      <c r="F39" s="1066">
        <v>32.5</v>
      </c>
      <c r="I39" s="1055" t="s">
        <v>1370</v>
      </c>
      <c r="J39" s="1056"/>
      <c r="K39" s="1055"/>
      <c r="L39" s="1055"/>
      <c r="M39" s="1055"/>
      <c r="N39" s="1055"/>
      <c r="O39" s="1076"/>
      <c r="P39" s="1076"/>
      <c r="T39" s="1301"/>
    </row>
    <row r="40" spans="1:20" ht="12.75" customHeight="1">
      <c r="A40" s="1055"/>
      <c r="C40" s="1056" t="s">
        <v>1105</v>
      </c>
      <c r="D40" s="1068"/>
      <c r="E40" s="1055"/>
      <c r="F40" s="1066">
        <v>5.4</v>
      </c>
      <c r="I40" s="1055" t="s">
        <v>16</v>
      </c>
      <c r="J40" s="1056"/>
      <c r="K40" s="1055"/>
      <c r="L40" s="1055"/>
      <c r="M40" s="1055"/>
      <c r="N40" s="1055"/>
      <c r="O40" s="1076"/>
      <c r="P40" s="1076"/>
      <c r="T40" s="1301"/>
    </row>
    <row r="41" spans="1:20" ht="12.75" customHeight="1">
      <c r="A41" s="1055"/>
      <c r="C41" s="1056" t="s">
        <v>1404</v>
      </c>
      <c r="D41" s="1068"/>
      <c r="E41" s="1055"/>
      <c r="F41" s="1066">
        <v>4.4000000000000004</v>
      </c>
      <c r="I41" s="1055" t="s">
        <v>1108</v>
      </c>
      <c r="J41" s="1056"/>
      <c r="K41" s="1055"/>
      <c r="L41" s="1055"/>
      <c r="M41" s="1055"/>
      <c r="N41" s="1055"/>
      <c r="O41" s="1076"/>
      <c r="P41" s="1076"/>
      <c r="Q41" s="1072"/>
      <c r="T41" s="1301"/>
    </row>
    <row r="42" spans="1:20" ht="12.75" customHeight="1">
      <c r="A42" s="1055"/>
      <c r="C42" s="1056" t="s">
        <v>1586</v>
      </c>
      <c r="F42" s="1066">
        <v>39</v>
      </c>
      <c r="I42" s="1055" t="s">
        <v>1389</v>
      </c>
      <c r="J42" s="1056"/>
      <c r="K42" s="1055"/>
      <c r="L42" s="1055"/>
      <c r="M42" s="1055"/>
      <c r="N42" s="1055"/>
      <c r="O42" s="1076"/>
      <c r="P42" s="1076"/>
      <c r="T42" s="1301"/>
    </row>
    <row r="43" spans="1:20" ht="12.75" customHeight="1">
      <c r="A43" s="1055"/>
      <c r="C43" s="1056" t="s">
        <v>1274</v>
      </c>
      <c r="D43" s="1068"/>
      <c r="E43" s="1055"/>
      <c r="F43" s="1066">
        <v>817.1</v>
      </c>
      <c r="I43" s="1055" t="s">
        <v>1369</v>
      </c>
      <c r="J43" s="1056"/>
      <c r="K43" s="1055"/>
      <c r="L43" s="1055"/>
      <c r="M43" s="1055"/>
      <c r="N43" s="1055"/>
      <c r="O43" s="1076"/>
      <c r="P43" s="1076"/>
      <c r="Q43" s="1076"/>
    </row>
    <row r="44" spans="1:20" ht="13.5" customHeight="1">
      <c r="A44" s="1055"/>
      <c r="C44" s="1056" t="s">
        <v>1587</v>
      </c>
      <c r="D44" s="1068"/>
      <c r="E44" s="1055"/>
      <c r="F44" s="1066">
        <v>3</v>
      </c>
      <c r="Q44" s="1076"/>
    </row>
    <row r="45" spans="1:20" ht="13.5" customHeight="1">
      <c r="A45" s="1055"/>
      <c r="C45" s="1056" t="s">
        <v>1588</v>
      </c>
      <c r="D45" s="1068"/>
      <c r="E45" s="1055"/>
      <c r="F45" s="1066">
        <v>24.4</v>
      </c>
      <c r="N45" s="1748"/>
      <c r="O45" s="1077" t="s">
        <v>1343</v>
      </c>
      <c r="P45" s="1077"/>
      <c r="Q45" s="1076"/>
    </row>
    <row r="46" spans="1:20" ht="13.5" customHeight="1">
      <c r="H46" s="1299"/>
      <c r="I46" s="1299"/>
      <c r="N46" s="1083" t="s">
        <v>1080</v>
      </c>
      <c r="O46" s="1213"/>
      <c r="P46" s="1077" t="s">
        <v>1380</v>
      </c>
      <c r="Q46" s="1076"/>
    </row>
    <row r="47" spans="1:20" ht="12.75" customHeight="1">
      <c r="B47" s="1056" t="s">
        <v>1107</v>
      </c>
      <c r="C47" s="1056"/>
      <c r="H47" s="1299"/>
      <c r="I47" s="1299"/>
      <c r="N47" s="3176"/>
      <c r="O47" s="3177"/>
      <c r="P47" s="3176"/>
      <c r="Q47" s="1076"/>
    </row>
    <row r="48" spans="1:20" ht="12.95" customHeight="1">
      <c r="B48" s="1055" t="s">
        <v>1652</v>
      </c>
      <c r="H48" s="1299"/>
      <c r="I48" s="1055" t="s">
        <v>1109</v>
      </c>
      <c r="N48" s="3182">
        <v>0</v>
      </c>
      <c r="O48" s="1213"/>
      <c r="P48" s="3182">
        <v>566315</v>
      </c>
      <c r="Q48" s="1076"/>
    </row>
    <row r="49" spans="1:21" ht="12.75" customHeight="1">
      <c r="B49" s="1055" t="s">
        <v>1672</v>
      </c>
      <c r="C49" s="1056"/>
      <c r="H49" s="1075"/>
      <c r="I49" s="1055" t="s">
        <v>1276</v>
      </c>
      <c r="N49" s="3183">
        <v>0</v>
      </c>
      <c r="O49" s="1213"/>
      <c r="P49" s="3184">
        <v>6601471</v>
      </c>
      <c r="S49" s="1053"/>
    </row>
    <row r="50" spans="1:21" ht="12.75" customHeight="1">
      <c r="B50" s="1055"/>
      <c r="H50" s="1071"/>
      <c r="I50" s="1055" t="s">
        <v>1110</v>
      </c>
      <c r="J50" s="1055"/>
      <c r="K50" s="1055"/>
      <c r="N50" s="3185">
        <v>0</v>
      </c>
      <c r="O50" s="3186"/>
      <c r="P50" s="3185">
        <v>17053147</v>
      </c>
      <c r="R50" s="1077"/>
      <c r="S50" s="1078"/>
      <c r="T50" s="1301"/>
      <c r="U50" s="1301"/>
    </row>
    <row r="51" spans="1:21" ht="12.75" customHeight="1">
      <c r="B51" s="1080" t="s">
        <v>1347</v>
      </c>
      <c r="C51" s="1063"/>
      <c r="D51" s="1064"/>
      <c r="F51" s="1064"/>
      <c r="H51" s="1071"/>
      <c r="I51" s="1055" t="s">
        <v>1111</v>
      </c>
      <c r="J51" s="1055"/>
      <c r="K51" s="1055"/>
      <c r="N51" s="3183">
        <v>5976662.6200000001</v>
      </c>
      <c r="O51" s="1213"/>
      <c r="P51" s="3183">
        <v>7183807</v>
      </c>
      <c r="R51" s="1058"/>
      <c r="S51" s="1079"/>
      <c r="T51" s="1301"/>
      <c r="U51" s="1301"/>
    </row>
    <row r="52" spans="1:21" ht="12.75" customHeight="1">
      <c r="B52" s="1055" t="s">
        <v>1348</v>
      </c>
      <c r="C52" s="1063"/>
      <c r="D52" s="1064"/>
      <c r="F52" s="1064"/>
      <c r="H52" s="1071"/>
      <c r="I52" s="1055" t="s">
        <v>1112</v>
      </c>
      <c r="J52" s="1055"/>
      <c r="K52" s="1055"/>
      <c r="N52" s="3183">
        <v>0</v>
      </c>
      <c r="O52" s="1213"/>
      <c r="P52" s="3183">
        <v>0</v>
      </c>
      <c r="R52" s="1055"/>
      <c r="T52" s="1301"/>
      <c r="U52" s="1301"/>
    </row>
    <row r="53" spans="1:21" ht="12.75" customHeight="1">
      <c r="B53" s="1055" t="s">
        <v>1668</v>
      </c>
      <c r="C53" s="1063"/>
      <c r="D53" s="1064"/>
      <c r="F53" s="1064"/>
      <c r="H53" s="1076"/>
      <c r="I53" s="1055" t="s">
        <v>1303</v>
      </c>
      <c r="J53" s="1055"/>
      <c r="K53" s="1055"/>
      <c r="N53" s="3183">
        <v>0</v>
      </c>
      <c r="O53" s="1213"/>
      <c r="P53" s="3183">
        <v>0</v>
      </c>
      <c r="R53" s="1081"/>
      <c r="T53" s="1301"/>
      <c r="U53" s="1301"/>
    </row>
    <row r="54" spans="1:21" ht="12.75" customHeight="1" thickBot="1">
      <c r="B54" s="1055" t="s">
        <v>1680</v>
      </c>
      <c r="C54" s="1063"/>
      <c r="D54" s="1064"/>
      <c r="F54" s="1064"/>
      <c r="H54" s="1076"/>
      <c r="I54" s="1055" t="s">
        <v>1113</v>
      </c>
      <c r="J54" s="1055"/>
      <c r="K54" s="1055"/>
      <c r="L54" s="1389"/>
      <c r="N54" s="3187">
        <f>SUM(N48:N53)</f>
        <v>5976662.6200000001</v>
      </c>
      <c r="O54" s="3188"/>
      <c r="P54" s="3187">
        <f>SUM(P48:P53)</f>
        <v>31404740</v>
      </c>
      <c r="R54" s="1082"/>
    </row>
    <row r="55" spans="1:21" ht="12.75" customHeight="1" thickTop="1">
      <c r="G55" s="1064"/>
      <c r="I55" s="1055"/>
      <c r="J55" s="1056"/>
      <c r="K55" s="1055"/>
      <c r="L55" s="1055"/>
      <c r="M55" s="1055"/>
      <c r="N55" s="1055"/>
      <c r="O55" s="1076"/>
      <c r="P55" s="1076"/>
      <c r="Q55" s="1076"/>
      <c r="R55" s="1082"/>
    </row>
    <row r="56" spans="1:21" ht="12.75" customHeight="1">
      <c r="B56" s="1084" t="s">
        <v>1592</v>
      </c>
      <c r="C56" s="1063"/>
      <c r="D56" s="1064"/>
      <c r="F56" s="1064"/>
      <c r="G56" s="1055"/>
      <c r="H56" s="1065" t="s">
        <v>1316</v>
      </c>
      <c r="I56" s="1080" t="s">
        <v>1381</v>
      </c>
      <c r="J56" s="1055"/>
      <c r="K56" s="1080"/>
      <c r="L56" s="1080"/>
      <c r="M56" s="1086"/>
      <c r="N56" s="1213"/>
      <c r="Q56" s="1076"/>
      <c r="R56" s="1082"/>
    </row>
    <row r="57" spans="1:21" ht="12.75" customHeight="1">
      <c r="B57" s="1055" t="s">
        <v>1671</v>
      </c>
      <c r="C57" s="1063"/>
      <c r="D57" s="1064"/>
      <c r="F57" s="1064"/>
      <c r="H57" s="1051"/>
      <c r="I57" s="1080" t="s">
        <v>1382</v>
      </c>
      <c r="J57" s="1055"/>
      <c r="K57" s="1080"/>
      <c r="L57" s="1080"/>
      <c r="M57" s="1086"/>
      <c r="N57" s="1213"/>
      <c r="Q57" s="1076"/>
      <c r="R57" s="1082"/>
    </row>
    <row r="58" spans="1:21" ht="12.75" customHeight="1">
      <c r="B58" s="1055" t="s">
        <v>1342</v>
      </c>
      <c r="C58" s="1063"/>
      <c r="D58" s="1064"/>
      <c r="F58" s="1064"/>
      <c r="I58" s="1080" t="s">
        <v>1410</v>
      </c>
      <c r="J58" s="1055"/>
      <c r="K58" s="1080"/>
      <c r="L58" s="1080"/>
      <c r="M58" s="1086"/>
      <c r="N58" s="1213"/>
      <c r="Q58" s="1076"/>
      <c r="R58" s="1082"/>
    </row>
    <row r="59" spans="1:21" ht="12.75" customHeight="1">
      <c r="G59" s="1299"/>
      <c r="I59" s="1080" t="s">
        <v>1411</v>
      </c>
      <c r="J59" s="1055"/>
      <c r="K59" s="1080"/>
      <c r="L59" s="1080"/>
      <c r="M59" s="1086"/>
      <c r="N59" s="1213"/>
      <c r="Q59" s="1076"/>
      <c r="R59" s="1082"/>
    </row>
    <row r="60" spans="1:21" ht="12.75" customHeight="1">
      <c r="B60" s="1055" t="s">
        <v>1344</v>
      </c>
      <c r="C60" s="1055"/>
      <c r="D60" s="1055"/>
      <c r="E60" s="1055"/>
      <c r="F60" s="1055"/>
      <c r="Q60" s="1076"/>
      <c r="R60" s="1082"/>
    </row>
    <row r="61" spans="1:21" ht="12.75" customHeight="1">
      <c r="H61" s="1065" t="s">
        <v>1413</v>
      </c>
      <c r="I61" s="1080" t="s">
        <v>1414</v>
      </c>
      <c r="Q61" s="1076"/>
      <c r="R61" s="1082"/>
    </row>
    <row r="62" spans="1:21" ht="12.75" customHeight="1">
      <c r="A62" s="1055"/>
      <c r="C62" s="1056" t="s">
        <v>1661</v>
      </c>
      <c r="D62" s="1068"/>
      <c r="E62" s="1055"/>
      <c r="F62" s="1075">
        <v>0.5</v>
      </c>
      <c r="G62" s="1055" t="s">
        <v>1088</v>
      </c>
      <c r="I62" s="1080" t="s">
        <v>1415</v>
      </c>
      <c r="R62" s="1082"/>
    </row>
    <row r="63" spans="1:21" ht="12.75" customHeight="1">
      <c r="A63" s="1055"/>
      <c r="C63" s="1056" t="s">
        <v>1275</v>
      </c>
      <c r="D63" s="1068"/>
      <c r="E63" s="1055"/>
      <c r="F63" s="1066">
        <v>32.9</v>
      </c>
      <c r="G63" s="1299"/>
      <c r="I63" s="1080" t="s">
        <v>1620</v>
      </c>
      <c r="R63" s="1085"/>
    </row>
    <row r="64" spans="1:21" ht="12.75" customHeight="1">
      <c r="C64" s="1056" t="s">
        <v>1619</v>
      </c>
      <c r="D64" s="1068"/>
      <c r="E64" s="1055"/>
      <c r="F64" s="3314">
        <v>8.4</v>
      </c>
      <c r="H64" s="1299"/>
      <c r="I64" s="1054" t="s">
        <v>1669</v>
      </c>
      <c r="R64" s="1085"/>
    </row>
    <row r="65" spans="1:18" s="1076" customFormat="1" ht="12.75" customHeight="1">
      <c r="A65" s="1055"/>
      <c r="B65" s="1300"/>
      <c r="C65" s="1300"/>
      <c r="D65" s="1067"/>
      <c r="E65" s="1064"/>
      <c r="F65" s="1213"/>
      <c r="G65" s="1213"/>
      <c r="R65" s="1085"/>
    </row>
    <row r="66" spans="1:18" ht="12.75" customHeight="1">
      <c r="A66" s="1051"/>
      <c r="B66" s="1055"/>
      <c r="C66" s="1056"/>
      <c r="D66" s="1055"/>
      <c r="E66" s="1055"/>
      <c r="F66" s="1055"/>
      <c r="G66" s="1055"/>
      <c r="H66" s="1076"/>
      <c r="I66" s="1076"/>
      <c r="K66" s="1055"/>
      <c r="L66" s="1055"/>
      <c r="M66" s="1055"/>
      <c r="N66" s="1055"/>
      <c r="O66" s="1076"/>
      <c r="P66" s="1060"/>
    </row>
    <row r="67" spans="1:18" ht="12.75" customHeight="1">
      <c r="A67" s="1051"/>
      <c r="C67" s="1056"/>
      <c r="D67" s="1073"/>
      <c r="E67" s="1055"/>
      <c r="F67" s="1071"/>
      <c r="G67" s="1055"/>
      <c r="K67" s="1055"/>
      <c r="L67" s="1055"/>
      <c r="M67" s="1055"/>
      <c r="N67" s="1055"/>
      <c r="O67" s="1076"/>
      <c r="P67" s="1059"/>
    </row>
    <row r="68" spans="1:18" ht="12.75" customHeight="1">
      <c r="A68" s="1051"/>
      <c r="B68" s="1076"/>
      <c r="C68" s="1056"/>
      <c r="D68" s="1070"/>
      <c r="E68" s="1055"/>
      <c r="F68" s="1071"/>
      <c r="G68" s="1055"/>
      <c r="K68" s="1055"/>
      <c r="L68" s="1055"/>
      <c r="M68" s="1055"/>
      <c r="N68" s="1055"/>
      <c r="O68" s="1076"/>
      <c r="P68" s="1399"/>
    </row>
    <row r="69" spans="1:18" ht="12.75" customHeight="1">
      <c r="I69" s="1076"/>
      <c r="K69" s="1055"/>
      <c r="L69" s="1055"/>
      <c r="M69" s="1055"/>
      <c r="N69" s="1055"/>
      <c r="O69" s="1076"/>
      <c r="P69" s="1060"/>
    </row>
    <row r="70" spans="1:18" ht="12.75" customHeight="1">
      <c r="H70" s="1299"/>
      <c r="I70" s="1299"/>
      <c r="K70" s="1055"/>
      <c r="L70" s="1055"/>
      <c r="M70" s="1055"/>
      <c r="N70" s="1055"/>
      <c r="O70" s="1076"/>
      <c r="P70" s="1060"/>
    </row>
    <row r="71" spans="1:18" ht="12.75" customHeight="1">
      <c r="H71" s="1299"/>
      <c r="I71" s="1299"/>
      <c r="K71" s="1055"/>
      <c r="L71" s="1055"/>
      <c r="M71" s="1055"/>
      <c r="N71" s="1055"/>
      <c r="O71" s="1076"/>
      <c r="P71" s="1060"/>
    </row>
    <row r="72" spans="1:18" ht="12.75" customHeight="1">
      <c r="H72" s="1299"/>
      <c r="I72" s="1299"/>
      <c r="K72" s="1055"/>
      <c r="L72" s="1055"/>
      <c r="M72" s="1055"/>
      <c r="N72" s="1055"/>
      <c r="O72" s="1076"/>
      <c r="P72" s="1060"/>
    </row>
    <row r="73" spans="1:18" ht="12.75" customHeight="1">
      <c r="H73" s="1299"/>
      <c r="I73" s="1299"/>
      <c r="J73" s="1056"/>
      <c r="K73" s="1055"/>
      <c r="L73" s="1055"/>
      <c r="M73" s="1055"/>
      <c r="N73" s="1055"/>
      <c r="O73" s="1076"/>
      <c r="P73" s="1060"/>
      <c r="Q73" s="1076"/>
    </row>
    <row r="74" spans="1:18" ht="12.75" customHeight="1">
      <c r="H74" s="1299"/>
      <c r="I74" s="1299"/>
      <c r="J74" s="1056"/>
      <c r="K74" s="1055"/>
      <c r="L74" s="1055"/>
      <c r="M74" s="1055"/>
      <c r="N74" s="1055"/>
      <c r="O74" s="1076"/>
      <c r="P74" s="1060"/>
      <c r="Q74" s="1076"/>
    </row>
    <row r="75" spans="1:18" ht="12.75" customHeight="1">
      <c r="I75" s="1076"/>
      <c r="J75" s="1056"/>
      <c r="K75" s="1055"/>
      <c r="L75" s="1055"/>
      <c r="M75" s="1055"/>
      <c r="N75" s="1055"/>
      <c r="O75" s="1076"/>
      <c r="P75" s="1060"/>
      <c r="Q75" s="1076"/>
    </row>
    <row r="76" spans="1:18" ht="12.75" customHeight="1">
      <c r="I76" s="1076"/>
      <c r="J76" s="1054"/>
      <c r="K76" s="1055"/>
      <c r="L76" s="1055"/>
      <c r="M76" s="1055"/>
      <c r="N76" s="1055"/>
      <c r="O76" s="1076"/>
      <c r="P76" s="1060"/>
      <c r="Q76" s="1076"/>
    </row>
    <row r="77" spans="1:18" ht="12.75" customHeight="1">
      <c r="I77" s="1076"/>
      <c r="J77" s="1054"/>
      <c r="K77" s="1055"/>
      <c r="L77" s="1055"/>
      <c r="M77" s="1055"/>
      <c r="N77" s="1055"/>
      <c r="O77" s="1076"/>
      <c r="P77" s="1060"/>
      <c r="Q77" s="1076"/>
    </row>
    <row r="78" spans="1:18" ht="12.75" customHeight="1">
      <c r="A78" s="1390"/>
      <c r="B78" s="1098"/>
      <c r="C78" s="1097"/>
      <c r="D78" s="1098"/>
      <c r="E78" s="1098"/>
      <c r="F78" s="1099"/>
      <c r="G78" s="1305"/>
      <c r="H78" s="1097"/>
      <c r="I78" s="1076"/>
      <c r="J78" s="1056"/>
      <c r="K78" s="1055"/>
      <c r="L78" s="1055"/>
      <c r="M78" s="1055"/>
      <c r="N78" s="1055"/>
      <c r="O78" s="1076"/>
      <c r="Q78" s="1076"/>
    </row>
    <row r="79" spans="1:18" ht="12.75" customHeight="1">
      <c r="A79" s="1391"/>
      <c r="B79" s="1098"/>
      <c r="C79" s="1097"/>
      <c r="D79" s="1098"/>
      <c r="E79" s="1098"/>
      <c r="F79" s="1099"/>
      <c r="G79" s="1305"/>
      <c r="H79" s="1097"/>
      <c r="I79" s="1056"/>
      <c r="J79" s="1056"/>
      <c r="K79" s="1055"/>
      <c r="L79" s="1055"/>
      <c r="M79" s="1055"/>
      <c r="N79" s="1055"/>
      <c r="O79" s="1076"/>
      <c r="Q79" s="1076"/>
    </row>
    <row r="80" spans="1:18" ht="12.75" customHeight="1">
      <c r="A80" s="1391"/>
      <c r="B80" s="1098"/>
      <c r="C80" s="1097"/>
      <c r="D80" s="1098"/>
      <c r="E80" s="1098"/>
      <c r="F80" s="1099"/>
      <c r="G80" s="1305"/>
      <c r="H80" s="1392"/>
      <c r="L80" s="1053"/>
      <c r="M80" s="1053"/>
      <c r="N80" s="1053"/>
      <c r="O80" s="1053"/>
    </row>
    <row r="81" spans="1:18" ht="12.75" customHeight="1">
      <c r="A81" s="1097"/>
      <c r="B81" s="1098"/>
      <c r="C81" s="1097"/>
      <c r="D81" s="1098"/>
      <c r="E81" s="1098"/>
      <c r="F81" s="1099"/>
      <c r="G81" s="1305"/>
      <c r="H81" s="1392"/>
      <c r="L81" s="1053"/>
      <c r="M81" s="1053"/>
      <c r="N81" s="1053"/>
      <c r="O81" s="1053"/>
    </row>
    <row r="82" spans="1:18" ht="12.75" customHeight="1">
      <c r="A82" s="1097"/>
      <c r="B82" s="1098"/>
      <c r="C82" s="1097"/>
      <c r="D82" s="1393"/>
      <c r="E82" s="1097"/>
      <c r="F82" s="1097"/>
      <c r="G82" s="1305"/>
      <c r="H82" s="1392"/>
      <c r="L82" s="1053"/>
      <c r="M82" s="1053"/>
      <c r="N82" s="1053"/>
      <c r="O82" s="1053"/>
    </row>
    <row r="83" spans="1:18" ht="12.75" customHeight="1">
      <c r="A83" s="1305"/>
      <c r="B83" s="1098"/>
      <c r="C83" s="1394"/>
      <c r="D83" s="1395"/>
      <c r="E83" s="1396"/>
      <c r="F83" s="1395"/>
      <c r="G83" s="1305"/>
      <c r="H83" s="1392"/>
      <c r="L83" s="1053"/>
      <c r="M83" s="1053"/>
      <c r="N83" s="1053"/>
      <c r="O83" s="1053"/>
    </row>
    <row r="84" spans="1:18" ht="12.75" customHeight="1">
      <c r="A84" s="1305"/>
      <c r="B84" s="1098"/>
      <c r="C84" s="1394"/>
      <c r="D84" s="1098"/>
      <c r="E84" s="1098"/>
      <c r="F84" s="1098"/>
      <c r="G84" s="1305"/>
      <c r="H84" s="1392"/>
      <c r="L84" s="1053"/>
      <c r="M84" s="1053"/>
      <c r="N84" s="1053"/>
      <c r="O84" s="1053"/>
    </row>
    <row r="85" spans="1:18" ht="12.75" customHeight="1">
      <c r="A85" s="1305"/>
      <c r="B85" s="1098"/>
      <c r="C85" s="1394"/>
      <c r="D85" s="1098"/>
      <c r="E85" s="1098"/>
      <c r="F85" s="1098"/>
      <c r="G85" s="1305"/>
      <c r="H85" s="1392"/>
      <c r="L85" s="1053"/>
      <c r="M85" s="1053"/>
      <c r="N85" s="1053"/>
      <c r="O85" s="1053"/>
    </row>
    <row r="86" spans="1:18" ht="12.75" customHeight="1">
      <c r="A86" s="1305"/>
      <c r="B86" s="1098"/>
      <c r="C86" s="1394"/>
      <c r="D86" s="1397"/>
      <c r="E86" s="1098"/>
      <c r="F86" s="1397"/>
      <c r="G86" s="1305"/>
      <c r="H86" s="1392"/>
      <c r="M86" s="1299"/>
      <c r="N86" s="1299"/>
    </row>
    <row r="87" spans="1:18" ht="20.100000000000001" customHeight="1">
      <c r="A87" s="1305"/>
      <c r="B87" s="1098"/>
      <c r="C87" s="1304"/>
      <c r="D87" s="1398"/>
      <c r="E87" s="1098"/>
      <c r="F87" s="1398"/>
      <c r="G87" s="1305"/>
      <c r="H87" s="1392"/>
      <c r="I87" s="1056"/>
      <c r="M87" s="1089"/>
      <c r="N87" s="1090"/>
    </row>
    <row r="88" spans="1:18" ht="20.100000000000001" customHeight="1">
      <c r="A88" s="1305"/>
      <c r="B88" s="1098"/>
      <c r="C88" s="1304"/>
      <c r="D88" s="1398"/>
      <c r="E88" s="1098"/>
      <c r="F88" s="1398"/>
      <c r="G88" s="1305"/>
      <c r="H88" s="1392"/>
      <c r="I88" s="1056"/>
      <c r="M88" s="1089"/>
      <c r="N88" s="1090"/>
    </row>
    <row r="89" spans="1:18" ht="20.100000000000001" customHeight="1">
      <c r="A89" s="1305"/>
      <c r="B89" s="1098"/>
      <c r="C89" s="1304"/>
      <c r="D89" s="1397"/>
      <c r="E89" s="1098"/>
      <c r="F89" s="1397"/>
      <c r="G89" s="1305"/>
      <c r="H89" s="1097"/>
      <c r="I89" s="1299"/>
      <c r="M89" s="1089"/>
      <c r="N89" s="1090"/>
    </row>
    <row r="90" spans="1:18" ht="18" customHeight="1">
      <c r="A90" s="1390"/>
      <c r="B90" s="1098"/>
      <c r="C90" s="1098"/>
      <c r="D90" s="1098"/>
      <c r="E90" s="1398"/>
      <c r="F90" s="1398"/>
      <c r="G90" s="1397"/>
      <c r="H90" s="1097"/>
      <c r="I90" s="1299"/>
      <c r="M90" s="1089"/>
      <c r="N90" s="1090"/>
    </row>
    <row r="91" spans="1:18" ht="12" customHeight="1">
      <c r="A91" s="1097"/>
      <c r="B91" s="1098"/>
      <c r="C91" s="1098"/>
      <c r="D91" s="1098"/>
      <c r="E91" s="1398"/>
      <c r="F91" s="1398"/>
      <c r="G91" s="1397"/>
      <c r="H91" s="1392"/>
      <c r="I91" s="1299"/>
      <c r="M91" s="1089"/>
      <c r="N91" s="1090"/>
      <c r="R91" s="1060"/>
    </row>
    <row r="92" spans="1:18" ht="12.75" customHeight="1">
      <c r="B92" s="1080"/>
      <c r="C92" s="1080"/>
      <c r="D92" s="1080"/>
      <c r="E92" s="1088"/>
      <c r="F92" s="1088"/>
      <c r="G92" s="1087"/>
      <c r="H92" s="1076"/>
      <c r="I92" s="1299"/>
      <c r="M92" s="1089"/>
      <c r="N92" s="1090"/>
      <c r="R92" s="1060"/>
    </row>
    <row r="93" spans="1:18" ht="12.75" customHeight="1">
      <c r="B93" s="1080"/>
      <c r="C93" s="1080"/>
      <c r="D93" s="1080"/>
      <c r="E93" s="1088"/>
      <c r="F93" s="1088"/>
      <c r="G93" s="1087"/>
      <c r="H93" s="1076"/>
      <c r="I93" s="1299"/>
      <c r="M93" s="1089"/>
      <c r="N93" s="1090"/>
      <c r="R93" s="1060"/>
    </row>
    <row r="94" spans="1:18" ht="12.75" customHeight="1">
      <c r="E94" s="1091"/>
      <c r="F94" s="1302"/>
      <c r="G94" s="1303"/>
      <c r="H94" s="1076"/>
      <c r="I94" s="1299"/>
      <c r="M94" s="1089"/>
      <c r="N94" s="1090"/>
      <c r="P94" s="1090"/>
      <c r="R94" s="1060"/>
    </row>
    <row r="95" spans="1:18" ht="12.75" customHeight="1">
      <c r="I95" s="1299"/>
      <c r="M95" s="1089"/>
      <c r="N95" s="1090"/>
      <c r="P95" s="1060"/>
      <c r="R95" s="1060"/>
    </row>
    <row r="96" spans="1:18" ht="12.75" customHeight="1">
      <c r="I96" s="1299"/>
      <c r="M96" s="1089"/>
      <c r="N96" s="1090"/>
      <c r="P96" s="1060"/>
      <c r="R96" s="1060"/>
    </row>
    <row r="97" spans="1:19" ht="12.75" customHeight="1">
      <c r="A97" s="1055"/>
      <c r="B97" s="1055"/>
      <c r="C97" s="1056"/>
      <c r="D97" s="1055"/>
      <c r="E97" s="1055"/>
      <c r="F97" s="1055"/>
      <c r="G97" s="1055"/>
      <c r="I97" s="1056"/>
      <c r="M97" s="1089"/>
      <c r="N97" s="1090"/>
      <c r="P97" s="1060"/>
      <c r="R97" s="1060"/>
    </row>
    <row r="98" spans="1:19" ht="12.75" customHeight="1">
      <c r="A98" s="1051"/>
      <c r="B98" s="1054"/>
      <c r="C98" s="1055"/>
      <c r="D98" s="1055"/>
      <c r="E98" s="1055"/>
      <c r="F98" s="1055"/>
      <c r="G98" s="1055"/>
      <c r="I98" s="1056"/>
      <c r="M98" s="1089"/>
      <c r="N98" s="1090"/>
      <c r="P98" s="1060"/>
      <c r="R98" s="1060"/>
    </row>
    <row r="99" spans="1:19" ht="12.75" customHeight="1">
      <c r="C99" s="1080"/>
      <c r="D99" s="1080"/>
      <c r="E99" s="1080"/>
      <c r="F99" s="1086"/>
      <c r="G99" s="1086"/>
      <c r="I99" s="1056"/>
      <c r="M99" s="1089"/>
      <c r="N99" s="1090"/>
      <c r="P99" s="1060"/>
      <c r="R99" s="1060"/>
    </row>
    <row r="100" spans="1:19" ht="12.75" customHeight="1">
      <c r="A100" s="1065"/>
      <c r="B100" s="1080"/>
      <c r="C100" s="1080"/>
      <c r="D100" s="1080"/>
      <c r="E100" s="1080"/>
      <c r="F100" s="1086"/>
      <c r="G100" s="1086"/>
      <c r="I100" s="1056"/>
      <c r="M100" s="1085"/>
      <c r="N100" s="1090"/>
      <c r="P100" s="1060"/>
      <c r="R100" s="1060"/>
    </row>
    <row r="101" spans="1:19" ht="12.75" customHeight="1">
      <c r="A101" s="1051"/>
      <c r="B101" s="1080"/>
      <c r="C101" s="1080"/>
      <c r="D101" s="1080"/>
      <c r="E101" s="1080"/>
      <c r="F101" s="1086"/>
      <c r="G101" s="1086"/>
      <c r="I101" s="1056"/>
      <c r="J101" s="1056"/>
      <c r="K101" s="1055"/>
      <c r="L101" s="1077"/>
      <c r="M101" s="1092"/>
      <c r="N101" s="1092"/>
      <c r="P101" s="1060"/>
      <c r="R101" s="1060"/>
    </row>
    <row r="102" spans="1:19" ht="12.75" customHeight="1">
      <c r="A102" s="1051"/>
      <c r="B102" s="1080"/>
      <c r="C102" s="1080"/>
      <c r="D102" s="1080"/>
      <c r="E102" s="1080"/>
      <c r="F102" s="1086"/>
      <c r="G102" s="1086"/>
      <c r="I102" s="1056"/>
      <c r="J102" s="1056"/>
      <c r="K102" s="1055"/>
      <c r="L102" s="1077"/>
      <c r="M102" s="1092"/>
      <c r="N102" s="1092"/>
      <c r="P102" s="1060"/>
      <c r="R102" s="1060"/>
    </row>
    <row r="103" spans="1:19" ht="12.75" customHeight="1">
      <c r="A103" s="1051"/>
      <c r="B103" s="1080"/>
      <c r="C103" s="1080"/>
      <c r="D103" s="1080"/>
      <c r="E103" s="1080"/>
      <c r="F103" s="1086"/>
      <c r="G103" s="1086"/>
      <c r="I103" s="1056"/>
      <c r="J103" s="1056"/>
      <c r="K103" s="1055"/>
      <c r="L103" s="1077"/>
      <c r="M103" s="1092"/>
      <c r="N103" s="1092"/>
      <c r="P103" s="1060"/>
      <c r="R103" s="1060"/>
    </row>
    <row r="104" spans="1:19" ht="12.75" customHeight="1">
      <c r="A104" s="1051"/>
      <c r="B104" s="1080"/>
      <c r="C104" s="1080"/>
      <c r="D104" s="1080"/>
      <c r="E104" s="1080"/>
      <c r="F104" s="1086"/>
      <c r="G104" s="1086"/>
      <c r="I104" s="1056"/>
      <c r="J104" s="1056"/>
      <c r="K104" s="1055"/>
      <c r="L104" s="1077"/>
      <c r="M104" s="1092"/>
      <c r="N104" s="1092"/>
      <c r="P104" s="1060"/>
      <c r="R104" s="1060"/>
    </row>
    <row r="105" spans="1:19" ht="12.75" customHeight="1">
      <c r="A105" s="1051"/>
      <c r="B105" s="1080"/>
      <c r="C105" s="1080"/>
      <c r="D105" s="1080"/>
      <c r="E105" s="1080"/>
      <c r="F105" s="1086"/>
      <c r="G105" s="1086"/>
      <c r="I105" s="1056"/>
      <c r="J105" s="1056"/>
      <c r="K105" s="1055"/>
      <c r="L105" s="1077"/>
      <c r="M105" s="1092"/>
      <c r="N105" s="1092"/>
      <c r="P105" s="1060"/>
      <c r="R105" s="1060"/>
    </row>
    <row r="106" spans="1:19" ht="12.75" customHeight="1">
      <c r="D106" s="1054"/>
      <c r="E106" s="1055"/>
      <c r="F106" s="1055"/>
      <c r="G106" s="1055"/>
      <c r="I106" s="1056"/>
      <c r="J106" s="1056"/>
      <c r="K106" s="1055"/>
      <c r="L106" s="1077"/>
      <c r="M106" s="1092"/>
      <c r="N106" s="1092"/>
      <c r="P106" s="1060"/>
      <c r="R106" s="1060"/>
    </row>
    <row r="107" spans="1:19" ht="12.75" customHeight="1">
      <c r="D107" s="1054"/>
      <c r="E107" s="1055"/>
      <c r="F107" s="1055"/>
      <c r="G107" s="1055"/>
      <c r="I107" s="1056"/>
      <c r="J107" s="1056"/>
      <c r="K107" s="1055"/>
      <c r="L107" s="1077"/>
      <c r="M107" s="1092"/>
      <c r="N107" s="1092"/>
      <c r="P107" s="1060"/>
    </row>
    <row r="108" spans="1:19" ht="11.25" customHeight="1">
      <c r="D108" s="1054"/>
      <c r="E108" s="1055"/>
      <c r="F108" s="1055"/>
      <c r="G108" s="1055"/>
      <c r="I108" s="1056"/>
      <c r="J108" s="1056"/>
      <c r="K108" s="1055"/>
      <c r="L108" s="1077"/>
      <c r="M108" s="1092"/>
      <c r="N108" s="1092"/>
      <c r="P108" s="1060"/>
    </row>
    <row r="109" spans="1:19" ht="11.25" customHeight="1">
      <c r="I109" s="1056"/>
      <c r="J109" s="1056"/>
      <c r="K109" s="1055"/>
      <c r="L109" s="1077"/>
      <c r="M109" s="1092"/>
      <c r="N109" s="1092"/>
      <c r="P109" s="1060"/>
    </row>
    <row r="110" spans="1:19" ht="11.25" customHeight="1">
      <c r="D110" s="1054"/>
      <c r="E110" s="1055"/>
      <c r="F110" s="1055"/>
      <c r="G110" s="1055"/>
      <c r="I110" s="1056"/>
      <c r="J110" s="1056"/>
      <c r="K110" s="1055"/>
      <c r="L110" s="1077"/>
      <c r="M110" s="1092"/>
      <c r="N110" s="1092"/>
      <c r="P110" s="1060"/>
      <c r="R110" s="1055"/>
      <c r="S110" s="1055"/>
    </row>
    <row r="111" spans="1:19" ht="12.75" customHeight="1">
      <c r="D111" s="1054"/>
      <c r="E111" s="1055"/>
      <c r="F111" s="1055"/>
      <c r="G111" s="1055"/>
      <c r="I111" s="1056"/>
      <c r="J111" s="1056"/>
      <c r="K111" s="1055"/>
      <c r="L111" s="1077"/>
      <c r="M111" s="1092"/>
      <c r="N111" s="1092"/>
      <c r="P111" s="1060"/>
      <c r="R111" s="1055"/>
      <c r="S111" s="1055"/>
    </row>
    <row r="112" spans="1:19" ht="12" customHeight="1">
      <c r="A112" s="1065"/>
      <c r="B112" s="1093"/>
      <c r="C112" s="1054"/>
      <c r="D112" s="1054"/>
      <c r="E112" s="1055"/>
      <c r="F112" s="1055"/>
      <c r="G112" s="1055"/>
      <c r="I112" s="1056"/>
      <c r="J112" s="1056"/>
      <c r="K112" s="1055"/>
      <c r="L112" s="1077"/>
      <c r="M112" s="1092"/>
      <c r="N112" s="1092"/>
      <c r="P112" s="1060"/>
      <c r="R112" s="1055"/>
      <c r="S112" s="1055"/>
    </row>
    <row r="113" spans="1:19" ht="12.75" customHeight="1">
      <c r="A113" s="1299"/>
      <c r="B113" s="1055"/>
      <c r="I113" s="1056"/>
      <c r="J113" s="1056"/>
      <c r="K113" s="1055"/>
      <c r="L113" s="1077"/>
      <c r="M113" s="1092"/>
      <c r="N113" s="1092"/>
      <c r="R113" s="1055"/>
      <c r="S113" s="1055"/>
    </row>
    <row r="114" spans="1:19" ht="12.75" customHeight="1">
      <c r="A114" s="1051"/>
      <c r="B114" s="1056"/>
      <c r="C114" s="1056"/>
      <c r="E114" s="1094"/>
      <c r="F114" s="1304"/>
      <c r="G114" s="1094"/>
      <c r="I114" s="1056"/>
      <c r="J114" s="1056"/>
      <c r="K114" s="1055"/>
      <c r="L114" s="1077"/>
      <c r="M114" s="1092"/>
      <c r="N114" s="1092"/>
      <c r="R114" s="1055"/>
      <c r="S114" s="1055"/>
    </row>
    <row r="115" spans="1:19" ht="12.75" customHeight="1">
      <c r="A115" s="1051"/>
      <c r="B115" s="2904"/>
      <c r="C115" s="2904"/>
      <c r="D115" s="2923"/>
      <c r="E115" s="1094"/>
      <c r="F115" s="1304"/>
      <c r="G115" s="1094"/>
      <c r="I115" s="1056"/>
      <c r="J115" s="1056"/>
      <c r="K115" s="1055"/>
      <c r="L115" s="1077"/>
      <c r="M115" s="1092"/>
      <c r="N115" s="1092"/>
      <c r="R115" s="1055"/>
      <c r="S115" s="1055"/>
    </row>
    <row r="116" spans="1:19" ht="12.75" customHeight="1">
      <c r="A116" s="1051"/>
      <c r="B116" s="2904"/>
      <c r="C116" s="2904"/>
      <c r="D116" s="2923"/>
      <c r="E116" s="2924"/>
      <c r="F116" s="2924"/>
      <c r="G116" s="2923"/>
      <c r="I116" s="1056"/>
      <c r="J116" s="1056"/>
      <c r="K116" s="1055"/>
      <c r="L116" s="1077"/>
      <c r="M116" s="1092"/>
      <c r="N116" s="1092"/>
      <c r="R116" s="1055"/>
      <c r="S116" s="1055"/>
    </row>
    <row r="117" spans="1:19" ht="12.75" customHeight="1">
      <c r="A117" s="1051"/>
      <c r="B117" s="2905"/>
      <c r="C117" s="2905"/>
      <c r="D117" s="2906"/>
      <c r="E117" s="2906"/>
      <c r="F117" s="2906"/>
      <c r="G117" s="2906"/>
      <c r="I117" s="1056"/>
      <c r="J117" s="1056"/>
      <c r="K117" s="1055"/>
      <c r="L117" s="1077"/>
      <c r="M117" s="1092"/>
      <c r="N117" s="1092"/>
      <c r="R117" s="1095"/>
      <c r="S117" s="1055"/>
    </row>
    <row r="118" spans="1:19" ht="12.75" customHeight="1">
      <c r="A118" s="1051"/>
      <c r="B118" s="2904"/>
      <c r="C118" s="2904"/>
      <c r="D118" s="2905"/>
      <c r="E118" s="2907"/>
      <c r="F118" s="2905"/>
      <c r="G118" s="2908"/>
      <c r="I118" s="1056"/>
      <c r="J118" s="1056"/>
      <c r="K118" s="1055"/>
      <c r="L118" s="1077"/>
      <c r="M118" s="1092"/>
      <c r="N118" s="1092"/>
      <c r="R118" s="1055"/>
      <c r="S118" s="1055"/>
    </row>
    <row r="119" spans="1:19" ht="12.75" customHeight="1">
      <c r="A119" s="1051"/>
      <c r="B119" s="2904"/>
      <c r="C119" s="2904"/>
      <c r="D119" s="2905"/>
      <c r="E119" s="2909"/>
      <c r="F119" s="2905"/>
      <c r="G119" s="2910"/>
      <c r="I119" s="1056"/>
      <c r="J119" s="1056"/>
      <c r="K119" s="1055"/>
      <c r="L119" s="1077"/>
      <c r="M119" s="1092"/>
      <c r="N119" s="1092"/>
      <c r="R119" s="1055"/>
    </row>
    <row r="120" spans="1:19" ht="12.75" customHeight="1">
      <c r="A120" s="1096"/>
      <c r="B120" s="2904"/>
      <c r="C120" s="2904"/>
      <c r="D120" s="2905"/>
      <c r="E120" s="2909"/>
      <c r="F120" s="2905"/>
      <c r="G120" s="2910"/>
      <c r="J120" s="1300"/>
      <c r="K120" s="1055"/>
      <c r="L120" s="1077"/>
      <c r="M120" s="1092"/>
      <c r="N120" s="1092"/>
      <c r="R120" s="1055"/>
      <c r="S120" s="1055"/>
    </row>
    <row r="121" spans="1:19" ht="12.75" customHeight="1">
      <c r="A121" s="1299"/>
      <c r="B121" s="2904"/>
      <c r="C121" s="2904"/>
      <c r="D121" s="2905"/>
      <c r="E121" s="2911"/>
      <c r="F121" s="2905"/>
      <c r="G121" s="2910"/>
      <c r="J121" s="1300"/>
      <c r="K121" s="1055"/>
      <c r="L121" s="1077"/>
      <c r="M121" s="1092"/>
      <c r="N121" s="1092"/>
      <c r="R121" s="1055"/>
      <c r="S121" s="1055"/>
    </row>
    <row r="122" spans="1:19" ht="12.75" customHeight="1">
      <c r="A122" s="1299"/>
      <c r="B122" s="2904"/>
      <c r="C122" s="2904"/>
      <c r="D122" s="2905"/>
      <c r="E122" s="2912"/>
      <c r="F122" s="2913"/>
      <c r="G122" s="2914"/>
      <c r="H122" s="1097"/>
      <c r="R122" s="1055"/>
      <c r="S122" s="1055"/>
    </row>
    <row r="123" spans="1:19" ht="12.75" customHeight="1">
      <c r="A123" s="1299"/>
      <c r="B123" s="2904"/>
      <c r="C123" s="2904"/>
      <c r="D123" s="2905"/>
      <c r="E123" s="2914"/>
      <c r="F123" s="2913"/>
      <c r="G123" s="2914"/>
      <c r="H123" s="1097"/>
      <c r="P123" s="1060"/>
      <c r="R123" s="1055"/>
      <c r="S123" s="1055"/>
    </row>
    <row r="124" spans="1:19" ht="12.75" customHeight="1">
      <c r="A124" s="1300"/>
      <c r="B124" s="2904"/>
      <c r="C124" s="2904"/>
      <c r="D124" s="2905"/>
      <c r="E124" s="2907"/>
      <c r="F124" s="2913"/>
      <c r="G124" s="2915"/>
      <c r="H124" s="1097"/>
      <c r="P124" s="1060"/>
      <c r="R124" s="1055"/>
      <c r="S124" s="1055"/>
    </row>
    <row r="125" spans="1:19" ht="12.75" customHeight="1">
      <c r="B125" s="1080"/>
      <c r="C125" s="1080"/>
      <c r="D125" s="1080"/>
      <c r="E125" s="1098"/>
      <c r="F125" s="1099"/>
      <c r="G125" s="1099"/>
      <c r="H125" s="1097"/>
      <c r="P125" s="1060"/>
      <c r="R125" s="1055"/>
      <c r="S125" s="1055"/>
    </row>
    <row r="126" spans="1:19" ht="12.75" customHeight="1">
      <c r="E126" s="1100"/>
      <c r="F126" s="1305"/>
      <c r="G126" s="1099"/>
      <c r="H126" s="1097"/>
      <c r="P126" s="1060"/>
      <c r="R126" s="1101"/>
      <c r="S126" s="1055"/>
    </row>
    <row r="127" spans="1:19" ht="12.75" customHeight="1">
      <c r="E127" s="1100"/>
      <c r="F127" s="1305"/>
      <c r="G127" s="1099"/>
      <c r="H127" s="1097"/>
      <c r="O127" s="1055"/>
      <c r="P127" s="1055"/>
      <c r="Q127" s="1055"/>
      <c r="R127" s="1101"/>
      <c r="S127" s="1055"/>
    </row>
    <row r="128" spans="1:19" ht="12.75" customHeight="1">
      <c r="G128" s="1086"/>
      <c r="O128" s="1055"/>
      <c r="P128" s="1055"/>
      <c r="Q128" s="1055"/>
      <c r="R128" s="1101"/>
      <c r="S128" s="1055"/>
    </row>
    <row r="129" spans="1:19" ht="12.75" customHeight="1">
      <c r="G129" s="1086"/>
      <c r="K129" s="1055"/>
      <c r="L129" s="1055"/>
      <c r="M129" s="1055"/>
      <c r="N129" s="1055"/>
      <c r="O129" s="1055"/>
      <c r="P129" s="1055"/>
      <c r="Q129" s="1055"/>
      <c r="R129" s="1101"/>
      <c r="S129" s="1101"/>
    </row>
    <row r="130" spans="1:19" ht="12.75" customHeight="1">
      <c r="I130" s="1056"/>
      <c r="J130" s="1056"/>
      <c r="K130" s="1055"/>
      <c r="M130" s="1055"/>
      <c r="N130" s="1055"/>
      <c r="O130" s="1055"/>
      <c r="P130" s="1055"/>
      <c r="Q130" s="1055"/>
      <c r="R130" s="1101"/>
      <c r="S130" s="1101"/>
    </row>
    <row r="131" spans="1:19" ht="12.75" customHeight="1">
      <c r="I131" s="1299"/>
      <c r="J131" s="1056"/>
      <c r="K131" s="1055"/>
      <c r="L131" s="1055"/>
      <c r="M131" s="1055"/>
      <c r="N131" s="1055"/>
      <c r="O131" s="1055"/>
      <c r="P131" s="1055"/>
      <c r="Q131" s="1055"/>
      <c r="R131" s="1055"/>
      <c r="S131" s="1055"/>
    </row>
    <row r="132" spans="1:19" ht="12.75" customHeight="1">
      <c r="C132" s="1063"/>
      <c r="D132" s="1054"/>
      <c r="E132" s="1055"/>
      <c r="F132" s="1055"/>
      <c r="G132" s="1055"/>
      <c r="I132" s="1299"/>
      <c r="J132" s="1056"/>
      <c r="K132" s="1055"/>
      <c r="L132" s="1055"/>
      <c r="M132" s="1055"/>
      <c r="N132" s="1055"/>
      <c r="O132" s="1055"/>
      <c r="P132" s="1055"/>
      <c r="Q132" s="1055"/>
      <c r="R132" s="1055"/>
    </row>
    <row r="133" spans="1:19" ht="12.75" customHeight="1">
      <c r="C133" s="1309"/>
      <c r="D133" s="1054"/>
      <c r="E133" s="1055"/>
      <c r="F133" s="1055"/>
      <c r="G133" s="1055"/>
      <c r="I133" s="1060"/>
      <c r="J133" s="1056"/>
      <c r="K133" s="1055"/>
      <c r="L133" s="1055"/>
      <c r="M133" s="1055"/>
      <c r="N133" s="1055"/>
      <c r="O133" s="1055"/>
      <c r="P133" s="1055"/>
      <c r="Q133" s="1055"/>
      <c r="R133" s="1055"/>
    </row>
    <row r="134" spans="1:19" ht="12.75" customHeight="1">
      <c r="B134" s="1102"/>
      <c r="C134" s="1054"/>
      <c r="D134" s="1054"/>
      <c r="E134" s="1055"/>
      <c r="F134" s="1055"/>
      <c r="G134" s="1055"/>
      <c r="I134" s="1060"/>
      <c r="J134" s="1056"/>
      <c r="K134" s="1055"/>
      <c r="L134" s="1055"/>
      <c r="M134" s="1055"/>
      <c r="N134" s="1055"/>
      <c r="O134" s="1055"/>
      <c r="P134" s="1055"/>
      <c r="Q134" s="1055"/>
    </row>
    <row r="135" spans="1:19" ht="12.75" customHeight="1">
      <c r="A135" s="1065"/>
      <c r="B135" s="1102"/>
      <c r="C135" s="1054"/>
      <c r="D135" s="1054"/>
      <c r="E135" s="1055"/>
      <c r="F135" s="1055"/>
      <c r="G135" s="1055"/>
      <c r="I135" s="1060"/>
      <c r="J135" s="1056"/>
      <c r="K135" s="1055"/>
      <c r="L135" s="1055"/>
      <c r="M135" s="1055"/>
      <c r="N135" s="1055"/>
      <c r="O135" s="1055"/>
      <c r="P135" s="1055"/>
      <c r="Q135" s="1055"/>
    </row>
    <row r="136" spans="1:19" ht="12.75" customHeight="1">
      <c r="A136" s="1055"/>
      <c r="B136" s="1102"/>
      <c r="C136" s="1054"/>
      <c r="D136" s="1054"/>
      <c r="E136" s="1055"/>
      <c r="F136" s="1055"/>
      <c r="G136" s="1055"/>
      <c r="I136" s="1060"/>
      <c r="J136" s="1056"/>
      <c r="K136" s="1055"/>
      <c r="L136" s="1055"/>
      <c r="M136" s="1055"/>
      <c r="N136" s="1055"/>
      <c r="O136" s="1055"/>
      <c r="P136" s="1055"/>
      <c r="Q136" s="1055"/>
    </row>
    <row r="137" spans="1:19" ht="12.75" customHeight="1">
      <c r="A137" s="1055"/>
      <c r="I137" s="1060"/>
      <c r="J137" s="1056"/>
      <c r="K137" s="1055"/>
      <c r="L137" s="1055"/>
      <c r="M137" s="1055"/>
      <c r="N137" s="1055"/>
      <c r="O137" s="1055"/>
      <c r="P137" s="1055"/>
      <c r="Q137" s="1055"/>
    </row>
    <row r="138" spans="1:19" ht="12.75" customHeight="1">
      <c r="A138" s="1055"/>
      <c r="I138" s="1060"/>
      <c r="J138" s="1056"/>
      <c r="K138" s="1055"/>
      <c r="L138" s="1055"/>
      <c r="M138" s="1055"/>
      <c r="N138" s="1055"/>
      <c r="O138" s="1055"/>
      <c r="P138" s="1055"/>
      <c r="Q138" s="1055"/>
    </row>
    <row r="139" spans="1:19" ht="12.75" customHeight="1">
      <c r="A139" s="1055"/>
      <c r="I139" s="1060"/>
      <c r="J139" s="1056"/>
      <c r="K139" s="1055"/>
      <c r="L139" s="1055"/>
      <c r="M139" s="1055"/>
      <c r="N139" s="1055"/>
      <c r="O139" s="1055"/>
      <c r="P139" s="1055"/>
      <c r="Q139" s="1055"/>
    </row>
    <row r="140" spans="1:19" ht="12.75" customHeight="1">
      <c r="B140" s="1299"/>
      <c r="C140" s="1299"/>
      <c r="D140" s="1299"/>
      <c r="E140" s="1299"/>
      <c r="F140" s="1299"/>
      <c r="G140" s="1299"/>
      <c r="I140" s="1060"/>
      <c r="J140" s="1056"/>
      <c r="K140" s="1055"/>
      <c r="L140" s="1055"/>
      <c r="M140" s="1055"/>
      <c r="N140" s="1055"/>
      <c r="O140" s="1055"/>
      <c r="P140" s="1055"/>
      <c r="Q140" s="1055"/>
    </row>
    <row r="141" spans="1:19" ht="12.75" customHeight="1">
      <c r="B141" s="1299"/>
      <c r="C141" s="1299"/>
      <c r="D141" s="1299"/>
      <c r="E141" s="1299"/>
      <c r="F141" s="1299"/>
      <c r="G141" s="1299"/>
      <c r="I141" s="1060"/>
      <c r="J141" s="1056"/>
      <c r="K141" s="1055"/>
      <c r="L141" s="1055"/>
      <c r="M141" s="1055"/>
      <c r="N141" s="1055"/>
      <c r="O141" s="1055"/>
      <c r="P141" s="1055"/>
      <c r="Q141" s="1055"/>
    </row>
    <row r="142" spans="1:19" ht="12.75" customHeight="1">
      <c r="B142" s="1299"/>
      <c r="C142" s="1299"/>
      <c r="D142" s="1299"/>
      <c r="E142" s="1299"/>
      <c r="F142" s="1299"/>
      <c r="G142" s="1299"/>
      <c r="I142" s="1060"/>
      <c r="J142" s="1056"/>
      <c r="K142" s="1055"/>
      <c r="L142" s="1055"/>
      <c r="M142" s="1055"/>
      <c r="N142" s="1055"/>
      <c r="O142" s="1055"/>
      <c r="P142" s="1055"/>
      <c r="Q142" s="1055"/>
    </row>
    <row r="143" spans="1:19" ht="12.75" customHeight="1">
      <c r="B143" s="1299"/>
      <c r="C143" s="1299"/>
      <c r="D143" s="1299"/>
      <c r="E143" s="1299"/>
      <c r="F143" s="1299"/>
      <c r="G143" s="1299"/>
      <c r="I143" s="1060"/>
      <c r="J143" s="1056"/>
      <c r="K143" s="1055"/>
      <c r="L143" s="1055"/>
      <c r="M143" s="1055"/>
      <c r="N143" s="1055"/>
      <c r="O143" s="1055"/>
      <c r="P143" s="1055"/>
      <c r="Q143" s="1055"/>
    </row>
    <row r="144" spans="1:19">
      <c r="B144" s="1299"/>
      <c r="C144" s="1299"/>
      <c r="D144" s="1299"/>
      <c r="E144" s="1299"/>
      <c r="F144" s="1299"/>
      <c r="G144" s="1299"/>
      <c r="I144" s="1060"/>
      <c r="J144" s="1056"/>
      <c r="K144" s="1055"/>
      <c r="L144" s="1055"/>
      <c r="M144" s="1055"/>
      <c r="N144" s="1055"/>
      <c r="O144" s="1055"/>
      <c r="P144" s="1055"/>
      <c r="Q144" s="1055"/>
    </row>
    <row r="145" spans="1:17">
      <c r="B145" s="1299"/>
      <c r="C145" s="1299"/>
      <c r="D145" s="1299"/>
      <c r="E145" s="1299"/>
      <c r="F145" s="1299"/>
      <c r="G145" s="1299"/>
      <c r="I145" s="1060"/>
      <c r="J145" s="1056"/>
      <c r="K145" s="1055"/>
      <c r="L145" s="1055"/>
      <c r="M145" s="1055"/>
      <c r="N145" s="1055"/>
      <c r="O145" s="1055"/>
      <c r="P145" s="1055"/>
      <c r="Q145" s="1055"/>
    </row>
    <row r="146" spans="1:17">
      <c r="A146" s="1299"/>
      <c r="B146" s="1299"/>
      <c r="C146" s="1299"/>
      <c r="D146" s="1299"/>
      <c r="E146" s="1299"/>
      <c r="F146" s="1299"/>
      <c r="G146" s="1299"/>
      <c r="I146" s="1299"/>
      <c r="J146" s="1056"/>
      <c r="K146" s="1055"/>
      <c r="L146" s="1055"/>
      <c r="M146" s="1055"/>
      <c r="N146" s="1055"/>
      <c r="O146" s="1055"/>
      <c r="P146" s="1055"/>
      <c r="Q146" s="1055"/>
    </row>
    <row r="147" spans="1:17">
      <c r="A147" s="1299"/>
      <c r="B147" s="1299"/>
      <c r="C147" s="1299"/>
      <c r="D147" s="1299"/>
      <c r="E147" s="1299"/>
      <c r="F147" s="1299"/>
      <c r="G147" s="1299"/>
      <c r="I147" s="1055"/>
      <c r="J147" s="1056"/>
      <c r="K147" s="1055"/>
      <c r="L147" s="1055"/>
      <c r="M147" s="1055"/>
      <c r="N147" s="1055"/>
      <c r="O147" s="1055"/>
      <c r="Q147" s="1055"/>
    </row>
    <row r="148" spans="1:17">
      <c r="A148" s="1299"/>
      <c r="B148" s="1299"/>
      <c r="C148" s="1299"/>
      <c r="D148" s="1299"/>
      <c r="E148" s="1299"/>
      <c r="F148" s="1299"/>
      <c r="G148" s="1299"/>
      <c r="I148" s="1056"/>
      <c r="J148" s="1056"/>
      <c r="K148" s="1055"/>
      <c r="L148" s="1055"/>
      <c r="M148" s="1055"/>
      <c r="N148" s="1055"/>
      <c r="O148" s="1055"/>
      <c r="P148" s="1055"/>
      <c r="Q148" s="1055"/>
    </row>
    <row r="149" spans="1:17">
      <c r="A149" s="1299"/>
      <c r="B149" s="1299"/>
      <c r="C149" s="1299"/>
      <c r="D149" s="1299"/>
      <c r="E149" s="1299"/>
      <c r="F149" s="1299"/>
      <c r="G149" s="1299"/>
      <c r="I149" s="1056"/>
      <c r="J149" s="1056"/>
      <c r="K149" s="1055"/>
      <c r="L149" s="1055"/>
      <c r="M149" s="1055"/>
      <c r="N149" s="1055"/>
      <c r="O149" s="1055"/>
      <c r="P149" s="1095"/>
      <c r="Q149" s="1055"/>
    </row>
    <row r="150" spans="1:17">
      <c r="A150" s="1299"/>
      <c r="B150" s="1299"/>
      <c r="C150" s="1299"/>
      <c r="D150" s="1299"/>
      <c r="E150" s="1299"/>
      <c r="F150" s="1299"/>
      <c r="G150" s="1299"/>
      <c r="I150" s="1056"/>
      <c r="J150" s="1056"/>
      <c r="K150" s="1055"/>
      <c r="L150" s="1055"/>
      <c r="M150" s="1055"/>
      <c r="N150" s="1055"/>
      <c r="O150" s="1055"/>
      <c r="P150" s="1055"/>
      <c r="Q150" s="1055"/>
    </row>
    <row r="151" spans="1:17">
      <c r="A151" s="1299"/>
      <c r="B151" s="1299"/>
      <c r="C151" s="1299"/>
      <c r="D151" s="1299"/>
      <c r="E151" s="1299"/>
      <c r="F151" s="1299"/>
      <c r="G151" s="1299"/>
      <c r="I151" s="1056"/>
      <c r="J151" s="1056"/>
      <c r="K151" s="1055"/>
      <c r="L151" s="1055"/>
      <c r="M151" s="1055"/>
      <c r="N151" s="1055"/>
      <c r="O151" s="1055"/>
      <c r="P151" s="1103"/>
      <c r="Q151" s="1055"/>
    </row>
    <row r="152" spans="1:17">
      <c r="A152" s="1299"/>
      <c r="B152" s="1299"/>
      <c r="C152" s="1299"/>
      <c r="D152" s="1299"/>
      <c r="E152" s="1299"/>
      <c r="F152" s="1299"/>
      <c r="G152" s="1299"/>
      <c r="I152" s="1056"/>
      <c r="J152" s="1056"/>
      <c r="K152" s="1055"/>
      <c r="L152" s="1055"/>
      <c r="M152" s="1055"/>
      <c r="N152" s="1055"/>
      <c r="O152" s="1055"/>
      <c r="P152" s="1055"/>
      <c r="Q152" s="1055"/>
    </row>
    <row r="153" spans="1:17">
      <c r="A153" s="1299"/>
      <c r="B153" s="1299"/>
      <c r="C153" s="1299"/>
      <c r="D153" s="1299"/>
      <c r="E153" s="1299"/>
      <c r="F153" s="1299"/>
      <c r="G153" s="1299"/>
      <c r="I153" s="1056"/>
      <c r="J153" s="1056"/>
      <c r="K153" s="1055"/>
      <c r="L153" s="1055"/>
      <c r="M153" s="1055"/>
      <c r="N153" s="1055"/>
      <c r="P153" s="1055"/>
    </row>
    <row r="154" spans="1:17">
      <c r="A154" s="1299"/>
      <c r="B154" s="1299"/>
      <c r="C154" s="1299"/>
      <c r="D154" s="1299"/>
      <c r="E154" s="1299"/>
      <c r="F154" s="1299"/>
      <c r="G154" s="1299"/>
      <c r="I154" s="1056"/>
      <c r="J154" s="1056"/>
      <c r="K154" s="1055"/>
      <c r="L154" s="1055"/>
      <c r="M154" s="1055"/>
      <c r="N154" s="1055"/>
      <c r="O154" s="1055"/>
      <c r="P154" s="1055"/>
      <c r="Q154" s="1055"/>
    </row>
    <row r="155" spans="1:17">
      <c r="A155" s="1299"/>
      <c r="B155" s="1299"/>
      <c r="C155" s="1299"/>
      <c r="D155" s="1299"/>
      <c r="E155" s="1299"/>
      <c r="F155" s="1299"/>
      <c r="G155" s="1299"/>
      <c r="I155" s="1056"/>
      <c r="J155" s="1056"/>
      <c r="K155" s="1055"/>
      <c r="L155" s="1055"/>
      <c r="M155" s="1055"/>
      <c r="N155" s="1055"/>
      <c r="O155" s="1055"/>
      <c r="P155" s="1055"/>
      <c r="Q155" s="1095"/>
    </row>
    <row r="156" spans="1:17">
      <c r="A156" s="1299"/>
      <c r="I156" s="1056"/>
      <c r="J156" s="1056"/>
      <c r="K156" s="1055"/>
      <c r="L156" s="1055"/>
      <c r="M156" s="1055"/>
      <c r="N156" s="1055"/>
      <c r="O156" s="1055"/>
      <c r="P156" s="1055"/>
      <c r="Q156" s="1055"/>
    </row>
    <row r="157" spans="1:17">
      <c r="A157" s="1299"/>
      <c r="I157" s="1056"/>
      <c r="J157" s="1056"/>
      <c r="K157" s="1055"/>
      <c r="L157" s="1104"/>
      <c r="O157" s="1055"/>
      <c r="P157" s="1055"/>
      <c r="Q157" s="1055"/>
    </row>
    <row r="158" spans="1:17">
      <c r="A158" s="1299"/>
      <c r="I158" s="1056"/>
      <c r="J158" s="1056"/>
      <c r="K158" s="1055"/>
      <c r="L158" s="1104"/>
      <c r="M158" s="1055"/>
      <c r="N158" s="1077"/>
      <c r="O158" s="1055"/>
      <c r="P158" s="1101"/>
      <c r="Q158" s="1055"/>
    </row>
    <row r="159" spans="1:17">
      <c r="B159" s="1299"/>
      <c r="C159" s="1299"/>
      <c r="D159" s="1299"/>
      <c r="E159" s="1299"/>
      <c r="F159" s="1299"/>
      <c r="G159" s="1299"/>
      <c r="I159" s="1055"/>
      <c r="J159" s="1055"/>
      <c r="K159" s="1104"/>
      <c r="L159" s="1299"/>
      <c r="M159" s="1299"/>
      <c r="N159" s="1299"/>
    </row>
    <row r="160" spans="1:17">
      <c r="B160" s="1299"/>
      <c r="C160" s="1299"/>
      <c r="D160" s="1299"/>
      <c r="E160" s="1299"/>
      <c r="F160" s="1299"/>
      <c r="G160" s="1299"/>
      <c r="I160" s="1055"/>
      <c r="J160" s="1055"/>
      <c r="K160" s="1104"/>
      <c r="L160" s="1299"/>
      <c r="M160" s="1299"/>
      <c r="N160" s="1299"/>
    </row>
    <row r="161" spans="1:14">
      <c r="A161" s="1299"/>
      <c r="B161" s="1299"/>
      <c r="C161" s="1299"/>
      <c r="D161" s="1299"/>
      <c r="E161" s="1299"/>
      <c r="F161" s="1299"/>
      <c r="G161" s="1299"/>
      <c r="I161" s="1055"/>
      <c r="J161" s="1055"/>
      <c r="K161" s="1105"/>
      <c r="L161" s="1299"/>
      <c r="M161" s="1299"/>
      <c r="N161" s="1299"/>
    </row>
    <row r="162" spans="1:14">
      <c r="A162" s="1299"/>
      <c r="B162" s="1299"/>
      <c r="C162" s="1299"/>
      <c r="D162" s="1299"/>
      <c r="E162" s="1299"/>
      <c r="F162" s="1299"/>
      <c r="G162" s="1299"/>
      <c r="I162" s="1055"/>
      <c r="J162" s="1055"/>
      <c r="K162" s="1055"/>
      <c r="L162" s="1299"/>
      <c r="M162" s="1299"/>
      <c r="N162" s="1299"/>
    </row>
    <row r="163" spans="1:14">
      <c r="A163" s="1299"/>
      <c r="B163" s="1299"/>
      <c r="C163" s="1299"/>
      <c r="D163" s="1299"/>
      <c r="E163" s="1299"/>
      <c r="F163" s="1299"/>
      <c r="G163" s="1299"/>
      <c r="I163" s="1055"/>
      <c r="J163" s="1055"/>
      <c r="K163" s="1055"/>
      <c r="L163" s="1299"/>
      <c r="M163" s="1299"/>
      <c r="N163" s="1299"/>
    </row>
    <row r="164" spans="1:14">
      <c r="A164" s="1299"/>
      <c r="B164" s="1299"/>
      <c r="C164" s="1299"/>
      <c r="D164" s="1299"/>
      <c r="E164" s="1299"/>
      <c r="F164" s="1299"/>
      <c r="G164" s="1299"/>
      <c r="I164" s="1055"/>
      <c r="J164" s="1055"/>
      <c r="K164" s="1055"/>
      <c r="L164" s="1299"/>
      <c r="M164" s="1299"/>
      <c r="N164" s="1299"/>
    </row>
    <row r="165" spans="1:14">
      <c r="A165" s="1299"/>
      <c r="B165" s="1299"/>
      <c r="C165" s="1299"/>
      <c r="D165" s="1299"/>
      <c r="E165" s="1299"/>
      <c r="F165" s="1299"/>
      <c r="G165" s="1299"/>
      <c r="I165" s="1055"/>
      <c r="J165" s="1055"/>
      <c r="L165" s="1299"/>
      <c r="M165" s="1299"/>
      <c r="N165" s="1299"/>
    </row>
    <row r="166" spans="1:14">
      <c r="A166" s="1299"/>
      <c r="B166" s="1299"/>
      <c r="C166" s="1299"/>
      <c r="D166" s="1299"/>
      <c r="E166" s="1299"/>
      <c r="F166" s="1299"/>
      <c r="G166" s="1299"/>
    </row>
    <row r="167" spans="1:14">
      <c r="A167" s="1299"/>
      <c r="B167" s="1299"/>
      <c r="C167" s="1299"/>
      <c r="D167" s="1299"/>
      <c r="E167" s="1299"/>
      <c r="F167" s="1299"/>
      <c r="G167" s="1299"/>
    </row>
    <row r="168" spans="1:14">
      <c r="A168" s="1299"/>
      <c r="B168" s="1299"/>
      <c r="C168" s="1299"/>
      <c r="D168" s="1299"/>
      <c r="E168" s="1299"/>
      <c r="F168" s="1299"/>
      <c r="G168" s="1299"/>
    </row>
    <row r="169" spans="1:14">
      <c r="A169" s="1299"/>
      <c r="B169" s="1299"/>
      <c r="C169" s="1299"/>
      <c r="D169" s="1299"/>
      <c r="E169" s="1299"/>
      <c r="F169" s="1299"/>
      <c r="G169" s="1299"/>
      <c r="J169" s="1299"/>
      <c r="K169" s="1299"/>
      <c r="L169" s="1299"/>
      <c r="M169" s="1299"/>
      <c r="N169" s="1299"/>
    </row>
    <row r="170" spans="1:14">
      <c r="A170" s="1299"/>
      <c r="B170" s="1299"/>
      <c r="C170" s="1299"/>
      <c r="D170" s="1299"/>
      <c r="E170" s="1299"/>
      <c r="F170" s="1299"/>
      <c r="G170" s="1299"/>
      <c r="J170" s="1299"/>
      <c r="K170" s="1299"/>
      <c r="L170" s="1299"/>
      <c r="M170" s="1299"/>
      <c r="N170" s="1299"/>
    </row>
    <row r="171" spans="1:14">
      <c r="A171" s="1299"/>
      <c r="B171" s="1299"/>
      <c r="C171" s="1299"/>
      <c r="D171" s="1299"/>
      <c r="E171" s="1299"/>
      <c r="F171" s="1299"/>
      <c r="G171" s="1299"/>
      <c r="I171" s="1299"/>
      <c r="J171" s="1299"/>
      <c r="K171" s="1299"/>
      <c r="L171" s="1299"/>
      <c r="M171" s="1299"/>
      <c r="N171" s="1299"/>
    </row>
    <row r="172" spans="1:14">
      <c r="A172" s="1299"/>
      <c r="I172" s="1299"/>
      <c r="J172" s="1299"/>
      <c r="K172" s="1299"/>
      <c r="L172" s="1299"/>
      <c r="M172" s="1299"/>
      <c r="N172" s="1299"/>
    </row>
    <row r="173" spans="1:14">
      <c r="A173" s="1299"/>
    </row>
    <row r="174" spans="1:14">
      <c r="A174" s="1299"/>
    </row>
    <row r="175" spans="1:14">
      <c r="B175" s="1299"/>
      <c r="C175" s="1299"/>
      <c r="D175" s="1299"/>
      <c r="E175" s="1299"/>
      <c r="F175" s="1299"/>
      <c r="G175" s="1299"/>
    </row>
    <row r="176" spans="1:14">
      <c r="B176" s="1299"/>
      <c r="C176" s="1299"/>
      <c r="D176" s="1299"/>
      <c r="E176" s="1299"/>
      <c r="F176" s="1299"/>
      <c r="G176" s="1299"/>
    </row>
    <row r="177" spans="1:7">
      <c r="B177" s="1299"/>
      <c r="C177" s="1299"/>
      <c r="D177" s="1299"/>
      <c r="E177" s="1299"/>
      <c r="F177" s="1299"/>
      <c r="G177" s="1299"/>
    </row>
    <row r="178" spans="1:7">
      <c r="A178" s="1299"/>
      <c r="B178" s="1299"/>
      <c r="C178" s="1299"/>
      <c r="D178" s="1299"/>
      <c r="E178" s="1299"/>
      <c r="F178" s="1299"/>
      <c r="G178" s="1299"/>
    </row>
    <row r="179" spans="1:7">
      <c r="A179" s="1299"/>
    </row>
    <row r="180" spans="1:7">
      <c r="A180" s="1299"/>
    </row>
    <row r="181" spans="1:7">
      <c r="A181" s="1299"/>
    </row>
  </sheetData>
  <customSheetViews>
    <customSheetView guid="{BD09DBC2-63A5-4D9C-9B00-4281066E9389}" showGridLines="0" printArea="1" topLeftCell="A37">
      <selection activeCell="G22" sqref="G22"/>
      <pageMargins left="0.6" right="0.25" top="0.6" bottom="0" header="0.5" footer="0.25"/>
      <pageSetup scale="66" firstPageNumber="4" orientation="landscape" useFirstPageNumber="1" r:id="rId1"/>
      <headerFooter scaleWithDoc="0" alignWithMargins="0">
        <oddFooter>&amp;C&amp;8&amp;P</oddFooter>
      </headerFooter>
    </customSheetView>
    <customSheetView guid="{C82E0A7D-2B5B-48FC-A705-3168E651E04C}" showGridLines="0" printArea="1">
      <selection activeCell="E10" sqref="E10"/>
      <pageMargins left="0.6" right="0.25" top="0.6" bottom="0" header="0.5" footer="0.25"/>
      <pageSetup scale="66" orientation="landscape" r:id="rId2"/>
      <headerFooter scaleWithDoc="0" alignWithMargins="0">
        <oddFooter>&amp;C&amp;8 4</oddFooter>
      </headerFooter>
    </customSheetView>
    <customSheetView guid="{A8B05C3B-0E7E-44A3-A097-AF4C5C09F04E}" showGridLines="0" printArea="1">
      <selection activeCell="E10" sqref="E10"/>
      <pageMargins left="0.6" right="0.25" top="0.6" bottom="0" header="0.5" footer="0.25"/>
      <pageSetup scale="66" orientation="landscape" r:id="rId3"/>
      <headerFooter scaleWithDoc="0" alignWithMargins="0">
        <oddFooter>&amp;C&amp;8 4</oddFooter>
      </headerFooter>
    </customSheetView>
    <customSheetView guid="{8EE6466D-211E-4E05-9F84-CC0A1C6F79F4}" showGridLines="0">
      <selection activeCell="E10" sqref="E10"/>
      <pageMargins left="0.6" right="0.25" top="0.6" bottom="0" header="0.5" footer="0.25"/>
      <pageSetup scale="66" orientation="landscape" r:id="rId4"/>
      <headerFooter scaleWithDoc="0" alignWithMargins="0">
        <oddFooter>&amp;C&amp;8 4</oddFooter>
      </headerFooter>
    </customSheetView>
    <customSheetView guid="{4735AAE3-27B4-4549-AAB4-50ACA997F5F5}" showGridLines="0" printArea="1">
      <selection activeCell="E10" sqref="E10"/>
      <pageMargins left="0.6" right="0.25" top="0.6" bottom="0" header="0.5" footer="0.25"/>
      <pageSetup scale="66" orientation="landscape" r:id="rId5"/>
      <headerFooter scaleWithDoc="0" alignWithMargins="0">
        <oddFooter>&amp;C&amp;8 4</oddFooter>
      </headerFooter>
    </customSheetView>
    <customSheetView guid="{80622567-647A-4891-B8EE-6B9E2C4DAC44}" showGridLines="0" printArea="1" topLeftCell="C1">
      <selection activeCell="F21" sqref="F21"/>
      <pageMargins left="0.6" right="0.25" top="0.6" bottom="0" header="0.5" footer="0.25"/>
      <pageSetup scale="66" orientation="landscape" r:id="rId6"/>
      <headerFooter scaleWithDoc="0" alignWithMargins="0">
        <oddFooter>&amp;C&amp;8 4</oddFooter>
      </headerFooter>
    </customSheetView>
    <customSheetView guid="{A97EE6C3-4DA8-41BD-BE43-F596EFCB43CA}" showGridLines="0" printArea="1" topLeftCell="A4">
      <selection activeCell="I34" sqref="I34"/>
      <pageMargins left="0.6" right="0.25" top="0.6" bottom="0" header="0.5" footer="0.25"/>
      <pageSetup scale="66" orientation="landscape" r:id="rId7"/>
      <headerFooter scaleWithDoc="0" alignWithMargins="0">
        <oddFooter>&amp;C&amp;8 4</oddFooter>
      </headerFooter>
    </customSheetView>
    <customSheetView guid="{90B76C5A-2FC4-40F0-8436-3E4F075A4887}" scale="90" showGridLines="0" printArea="1">
      <selection activeCell="G22" sqref="G22"/>
      <pageMargins left="0.6" right="0.25" top="0.6" bottom="0" header="0.5" footer="0.25"/>
      <pageSetup scale="66" orientation="landscape" r:id="rId8"/>
      <headerFooter scaleWithDoc="0" alignWithMargins="0">
        <oddFooter>&amp;C&amp;8 4</oddFooter>
      </headerFooter>
    </customSheetView>
  </customSheetViews>
  <pageMargins left="0.6" right="0.25" top="0.6" bottom="0" header="0.5" footer="0.25"/>
  <pageSetup scale="66" firstPageNumber="4" orientation="landscape" useFirstPageNumber="1" r:id="rId9"/>
  <headerFooter scaleWithDoc="0" alignWithMargins="0">
    <oddFooter>&amp;C&amp;8&amp;P</oddFooter>
  </headerFooter>
  <ignoredErrors>
    <ignoredError sqref="H36 H56 H61 A5 A19" numberStoredAsText="1"/>
  </ignoredErrors>
</worksheet>
</file>

<file path=xl/worksheets/sheet40.xml><?xml version="1.0" encoding="utf-8"?>
<worksheet xmlns="http://schemas.openxmlformats.org/spreadsheetml/2006/main" xmlns:r="http://schemas.openxmlformats.org/officeDocument/2006/relationships">
  <sheetPr codeName="Sheet38">
    <pageSetUpPr fitToPage="1"/>
  </sheetPr>
  <dimension ref="A1:S71"/>
  <sheetViews>
    <sheetView showGridLines="0" zoomScale="78" zoomScaleNormal="70" zoomScaleSheetLayoutView="100" workbookViewId="0"/>
  </sheetViews>
  <sheetFormatPr defaultRowHeight="15"/>
  <cols>
    <col min="1" max="1" width="55.109375" style="2766" customWidth="1"/>
    <col min="2" max="2" width="4.6640625" style="2766" customWidth="1"/>
    <col min="3" max="3" width="19" style="2767" customWidth="1"/>
    <col min="4" max="4" width="2.44140625" style="2767" customWidth="1"/>
    <col min="5" max="5" width="19" style="2767" customWidth="1"/>
    <col min="6" max="6" width="2.44140625" style="2767" customWidth="1"/>
    <col min="7" max="7" width="19.21875" style="2767" customWidth="1"/>
    <col min="8" max="9" width="1.6640625" style="2768" customWidth="1"/>
    <col min="10" max="10" width="18.88671875" style="2768" customWidth="1"/>
    <col min="11" max="14" width="8.88671875" style="2767"/>
    <col min="15" max="16384" width="8.88671875" style="2766"/>
  </cols>
  <sheetData>
    <row r="1" spans="1:14">
      <c r="A1" s="1227" t="s">
        <v>1322</v>
      </c>
    </row>
    <row r="2" spans="1:14">
      <c r="A2" s="2769"/>
      <c r="H2" s="2767"/>
    </row>
    <row r="3" spans="1:14" ht="18">
      <c r="H3" s="2767"/>
      <c r="J3" s="2936" t="s">
        <v>784</v>
      </c>
    </row>
    <row r="4" spans="1:14" ht="18">
      <c r="A4" s="2770" t="s">
        <v>542</v>
      </c>
      <c r="B4" s="2771"/>
      <c r="C4" s="2771"/>
      <c r="D4" s="2771"/>
      <c r="E4" s="2771"/>
      <c r="F4" s="2771"/>
      <c r="G4" s="2771"/>
      <c r="H4" s="2937"/>
      <c r="I4" s="2938"/>
      <c r="J4" s="2938"/>
    </row>
    <row r="5" spans="1:14" ht="18">
      <c r="A5" s="2770" t="s">
        <v>1208</v>
      </c>
      <c r="B5" s="2770"/>
      <c r="C5" s="2770"/>
      <c r="D5" s="3319"/>
      <c r="E5" s="3319"/>
      <c r="F5" s="2770"/>
      <c r="G5" s="3315"/>
      <c r="H5" s="2939"/>
      <c r="I5" s="2937"/>
      <c r="J5" s="2919"/>
    </row>
    <row r="6" spans="1:14" ht="18">
      <c r="A6" s="3389" t="s">
        <v>1175</v>
      </c>
      <c r="B6" s="3390"/>
      <c r="C6" s="3390"/>
      <c r="D6" s="3390"/>
      <c r="E6" s="3390"/>
      <c r="F6" s="3390"/>
      <c r="G6" s="3390"/>
      <c r="H6" s="3390"/>
      <c r="I6" s="2937"/>
      <c r="J6" s="2919"/>
    </row>
    <row r="7" spans="1:14" ht="18">
      <c r="A7" s="3391"/>
      <c r="B7" s="3391"/>
      <c r="C7" s="3391"/>
      <c r="D7" s="3391"/>
      <c r="E7" s="3391"/>
      <c r="F7" s="3391"/>
      <c r="G7" s="3391"/>
      <c r="H7" s="3391"/>
      <c r="I7" s="2940"/>
      <c r="J7" s="2940"/>
    </row>
    <row r="8" spans="1:14" ht="23.25">
      <c r="A8" s="2775"/>
      <c r="B8" s="2776"/>
      <c r="C8" s="2777"/>
      <c r="D8" s="2773"/>
      <c r="E8" s="2777"/>
      <c r="F8" s="2773"/>
      <c r="G8" s="2777"/>
      <c r="H8" s="2772"/>
      <c r="I8" s="2941"/>
      <c r="J8" s="2778"/>
    </row>
    <row r="9" spans="1:14" s="2783" customFormat="1" ht="15.75">
      <c r="A9" s="2779"/>
      <c r="B9" s="2779"/>
      <c r="C9" s="2780" t="s">
        <v>1580</v>
      </c>
      <c r="D9" s="2781"/>
      <c r="E9" s="2780" t="s">
        <v>1677</v>
      </c>
      <c r="F9" s="2781"/>
      <c r="G9" s="3294">
        <v>2014</v>
      </c>
      <c r="H9" s="2782"/>
      <c r="I9" s="2782"/>
      <c r="J9" s="2782"/>
      <c r="K9" s="2765"/>
      <c r="L9" s="2765"/>
      <c r="M9" s="2765"/>
      <c r="N9" s="2765"/>
    </row>
    <row r="10" spans="1:14" ht="15.75">
      <c r="A10" s="2784"/>
      <c r="B10" s="2784"/>
      <c r="C10" s="2785" t="s">
        <v>1581</v>
      </c>
      <c r="D10" s="2786"/>
      <c r="E10" s="2785" t="s">
        <v>1653</v>
      </c>
      <c r="F10" s="2786"/>
      <c r="G10" s="2785" t="s">
        <v>151</v>
      </c>
      <c r="H10" s="2786"/>
      <c r="I10" s="2774"/>
      <c r="J10" s="2785" t="s">
        <v>1180</v>
      </c>
    </row>
    <row r="11" spans="1:14">
      <c r="A11" s="2784"/>
      <c r="B11" s="2784"/>
      <c r="C11" s="2787"/>
      <c r="D11" s="2786"/>
      <c r="E11" s="2787"/>
      <c r="F11" s="2786"/>
      <c r="G11" s="2787"/>
      <c r="H11" s="2774"/>
      <c r="I11" s="2774"/>
      <c r="J11" s="2787"/>
    </row>
    <row r="12" spans="1:14" s="2783" customFormat="1" ht="15.75">
      <c r="A12" s="2788" t="s">
        <v>517</v>
      </c>
      <c r="B12" s="2788"/>
      <c r="C12" s="2789">
        <v>249281804.49000001</v>
      </c>
      <c r="D12" s="2789"/>
      <c r="E12" s="2789">
        <f>+C52</f>
        <v>300577699.85000002</v>
      </c>
      <c r="F12" s="2789"/>
      <c r="G12" s="2942">
        <f>+E52</f>
        <v>270791872.38</v>
      </c>
      <c r="H12" s="2789"/>
      <c r="I12" s="2790"/>
      <c r="J12" s="2942">
        <f>+C12</f>
        <v>249281804.49000001</v>
      </c>
      <c r="K12" s="2765"/>
      <c r="L12" s="2765"/>
      <c r="M12" s="2765"/>
      <c r="N12" s="2765"/>
    </row>
    <row r="13" spans="1:14" ht="15.75">
      <c r="A13" s="2788"/>
      <c r="B13" s="2784"/>
      <c r="C13" s="2786"/>
      <c r="D13" s="2786"/>
      <c r="E13" s="2786"/>
      <c r="F13" s="2786"/>
      <c r="G13" s="2774"/>
      <c r="H13" s="2786"/>
      <c r="I13" s="2791"/>
      <c r="J13" s="2794"/>
    </row>
    <row r="14" spans="1:14" ht="15.75">
      <c r="A14" s="2788" t="s">
        <v>15</v>
      </c>
      <c r="B14" s="2784"/>
      <c r="C14" s="2792"/>
      <c r="D14" s="2792"/>
      <c r="E14" s="2792"/>
      <c r="F14" s="2792"/>
      <c r="G14" s="2794"/>
      <c r="H14" s="2792"/>
      <c r="I14" s="2793"/>
      <c r="J14" s="2794"/>
    </row>
    <row r="15" spans="1:14">
      <c r="A15" s="2784" t="s">
        <v>785</v>
      </c>
      <c r="B15" s="2784"/>
      <c r="C15" s="2748">
        <v>702857910.35000002</v>
      </c>
      <c r="D15" s="2792"/>
      <c r="E15" s="2748">
        <v>692322562.54999995</v>
      </c>
      <c r="F15" s="2792"/>
      <c r="G15" s="2794">
        <v>246559226.46000001</v>
      </c>
      <c r="H15" s="2795"/>
      <c r="I15" s="2793"/>
      <c r="J15" s="2794">
        <f t="shared" ref="J15:J21" si="0">SUM(C15:I15)</f>
        <v>1641739699.3600001</v>
      </c>
    </row>
    <row r="16" spans="1:14">
      <c r="A16" s="2784" t="s">
        <v>786</v>
      </c>
      <c r="B16" s="2784"/>
      <c r="C16" s="2748">
        <v>283970689.02999997</v>
      </c>
      <c r="D16" s="2792"/>
      <c r="E16" s="2748">
        <v>264758078.39999998</v>
      </c>
      <c r="F16" s="2792"/>
      <c r="G16" s="2794">
        <v>90650915.670000002</v>
      </c>
      <c r="H16" s="2795"/>
      <c r="I16" s="2793"/>
      <c r="J16" s="2794">
        <f t="shared" si="0"/>
        <v>639379683.0999999</v>
      </c>
    </row>
    <row r="17" spans="1:19">
      <c r="A17" s="2784" t="s">
        <v>787</v>
      </c>
      <c r="B17" s="2784"/>
      <c r="C17" s="2748">
        <v>23415365.510000002</v>
      </c>
      <c r="D17" s="2792"/>
      <c r="E17" s="2748">
        <v>23116080.060000002</v>
      </c>
      <c r="F17" s="2792"/>
      <c r="G17" s="2794">
        <v>10991253</v>
      </c>
      <c r="H17" s="2795"/>
      <c r="I17" s="2793"/>
      <c r="J17" s="2794">
        <f t="shared" si="0"/>
        <v>57522698.570000008</v>
      </c>
    </row>
    <row r="18" spans="1:19">
      <c r="A18" s="2784" t="s">
        <v>788</v>
      </c>
      <c r="B18" s="2784"/>
      <c r="C18" s="2748">
        <v>83682193.180000007</v>
      </c>
      <c r="D18" s="2792"/>
      <c r="E18" s="2748">
        <v>86602263.819999993</v>
      </c>
      <c r="F18" s="2792"/>
      <c r="G18" s="2794">
        <v>32080109.41</v>
      </c>
      <c r="H18" s="2795"/>
      <c r="I18" s="2793"/>
      <c r="J18" s="2794">
        <f t="shared" si="0"/>
        <v>202364566.41</v>
      </c>
    </row>
    <row r="19" spans="1:19">
      <c r="A19" s="2796" t="s">
        <v>789</v>
      </c>
      <c r="B19" s="2784"/>
      <c r="C19" s="1745">
        <v>0</v>
      </c>
      <c r="D19" s="2792"/>
      <c r="E19" s="2748">
        <v>0</v>
      </c>
      <c r="F19" s="2792"/>
      <c r="G19" s="2794">
        <v>0</v>
      </c>
      <c r="H19" s="2795"/>
      <c r="I19" s="2793"/>
      <c r="J19" s="2794">
        <f t="shared" si="0"/>
        <v>0</v>
      </c>
    </row>
    <row r="20" spans="1:19">
      <c r="A20" s="2784" t="s">
        <v>790</v>
      </c>
      <c r="B20" s="2784"/>
      <c r="C20" s="2748">
        <v>53284.37</v>
      </c>
      <c r="D20" s="2792"/>
      <c r="E20" s="2748">
        <v>57610.89</v>
      </c>
      <c r="F20" s="2792"/>
      <c r="G20" s="2794">
        <v>22912.79</v>
      </c>
      <c r="H20" s="2795"/>
      <c r="I20" s="2793"/>
      <c r="J20" s="2794">
        <f t="shared" si="0"/>
        <v>133808.05000000002</v>
      </c>
    </row>
    <row r="21" spans="1:19">
      <c r="A21" s="2784" t="s">
        <v>791</v>
      </c>
      <c r="B21" s="2784"/>
      <c r="C21" s="2797">
        <v>-705</v>
      </c>
      <c r="D21" s="2792"/>
      <c r="E21" s="2748">
        <v>8390</v>
      </c>
      <c r="F21" s="2792"/>
      <c r="G21" s="2943">
        <v>-8390</v>
      </c>
      <c r="H21" s="2795"/>
      <c r="I21" s="2798"/>
      <c r="J21" s="2794">
        <f t="shared" si="0"/>
        <v>-705</v>
      </c>
      <c r="K21" s="2768"/>
    </row>
    <row r="22" spans="1:19" s="2783" customFormat="1" ht="15.75">
      <c r="A22" s="2788" t="s">
        <v>158</v>
      </c>
      <c r="B22" s="2788"/>
      <c r="C22" s="2799">
        <f>ROUND(SUM(C15:C21),2)</f>
        <v>1093978737.4400001</v>
      </c>
      <c r="D22" s="2800"/>
      <c r="E22" s="2802">
        <f>ROUND(SUM(E15:E21),2)</f>
        <v>1066864985.72</v>
      </c>
      <c r="F22" s="2800"/>
      <c r="G22" s="2799">
        <f>ROUND(SUM(G15:G21),2)</f>
        <v>380296027.32999998</v>
      </c>
      <c r="H22" s="2803"/>
      <c r="I22" s="2801"/>
      <c r="J22" s="2802">
        <f>ROUND(SUM(J15:J21),2)</f>
        <v>2541139750.4899998</v>
      </c>
      <c r="K22" s="2804"/>
      <c r="L22" s="2765"/>
      <c r="M22" s="2765"/>
      <c r="N22" s="2765"/>
    </row>
    <row r="23" spans="1:19">
      <c r="A23" s="2784"/>
      <c r="B23" s="2784"/>
      <c r="C23" s="2792"/>
      <c r="D23" s="2792"/>
      <c r="E23" s="2792"/>
      <c r="F23" s="2792"/>
      <c r="G23" s="2794"/>
      <c r="H23" s="2792"/>
      <c r="I23" s="2793"/>
      <c r="J23" s="2794"/>
    </row>
    <row r="24" spans="1:19" ht="15.75">
      <c r="A24" s="2788" t="s">
        <v>1270</v>
      </c>
      <c r="B24" s="2784"/>
      <c r="C24" s="2805"/>
      <c r="D24" s="2792"/>
      <c r="E24" s="2805"/>
      <c r="F24" s="2792"/>
      <c r="G24" s="2944"/>
      <c r="H24" s="2792"/>
      <c r="I24" s="2793"/>
      <c r="J24" s="2794"/>
    </row>
    <row r="25" spans="1:19">
      <c r="A25" s="2806" t="s">
        <v>792</v>
      </c>
      <c r="B25" s="2784"/>
      <c r="C25" s="2792">
        <v>0</v>
      </c>
      <c r="D25" s="2792"/>
      <c r="E25" s="2748">
        <v>0</v>
      </c>
      <c r="F25" s="2792"/>
      <c r="G25" s="2794">
        <v>0</v>
      </c>
      <c r="H25" s="2795"/>
      <c r="I25" s="2793"/>
      <c r="J25" s="2794">
        <f>SUM(C25:I25)</f>
        <v>0</v>
      </c>
    </row>
    <row r="26" spans="1:19">
      <c r="A26" s="2806" t="s">
        <v>793</v>
      </c>
      <c r="B26" s="2784"/>
      <c r="C26" s="2792">
        <v>0</v>
      </c>
      <c r="D26" s="2792"/>
      <c r="E26" s="2748">
        <v>0</v>
      </c>
      <c r="F26" s="2792"/>
      <c r="G26" s="2794">
        <v>0</v>
      </c>
      <c r="H26" s="2795"/>
      <c r="I26" s="2793"/>
      <c r="J26" s="2794">
        <f>SUM(C26:I26)</f>
        <v>0</v>
      </c>
    </row>
    <row r="27" spans="1:19">
      <c r="A27" s="2806" t="s">
        <v>794</v>
      </c>
      <c r="B27" s="2784"/>
      <c r="C27" s="2792">
        <v>0</v>
      </c>
      <c r="D27" s="2792"/>
      <c r="E27" s="2748">
        <v>0</v>
      </c>
      <c r="F27" s="2792"/>
      <c r="G27" s="2794">
        <v>0</v>
      </c>
      <c r="H27" s="2795"/>
      <c r="I27" s="2798"/>
      <c r="J27" s="2794">
        <f>SUM(C27:I27)</f>
        <v>0</v>
      </c>
    </row>
    <row r="28" spans="1:19" ht="15.75">
      <c r="A28" s="2771" t="s">
        <v>1339</v>
      </c>
      <c r="B28" s="2788"/>
      <c r="C28" s="2802">
        <f>ROUND(SUM(C25:C27),2)</f>
        <v>0</v>
      </c>
      <c r="D28" s="2800"/>
      <c r="E28" s="2802">
        <f>ROUND(SUM(E25:E27),2)</f>
        <v>0</v>
      </c>
      <c r="F28" s="2800"/>
      <c r="G28" s="2802">
        <f>ROUND(SUM(G25:G27),2)</f>
        <v>0</v>
      </c>
      <c r="H28" s="2803"/>
      <c r="I28" s="2801"/>
      <c r="J28" s="2802">
        <f>ROUND(SUM(J25:J27),2)</f>
        <v>0</v>
      </c>
    </row>
    <row r="29" spans="1:19">
      <c r="A29" s="2784"/>
      <c r="B29" s="2784"/>
      <c r="C29" s="2792"/>
      <c r="D29" s="2792"/>
      <c r="E29" s="2792"/>
      <c r="F29" s="2792"/>
      <c r="G29" s="2794"/>
      <c r="H29" s="2792"/>
      <c r="I29" s="2793"/>
      <c r="J29" s="2794"/>
    </row>
    <row r="30" spans="1:19" ht="15.75">
      <c r="A30" s="2788" t="s">
        <v>795</v>
      </c>
      <c r="B30" s="2788"/>
      <c r="C30" s="2800">
        <f>ROUND(+C22+C28,2)</f>
        <v>1093978737.4400001</v>
      </c>
      <c r="D30" s="2800"/>
      <c r="E30" s="2800">
        <f>ROUND(+E22+E28,2)</f>
        <v>1066864985.72</v>
      </c>
      <c r="F30" s="2800"/>
      <c r="G30" s="2803">
        <f>ROUND(+G22+G28,2)</f>
        <v>380296027.32999998</v>
      </c>
      <c r="H30" s="2800"/>
      <c r="I30" s="2807"/>
      <c r="J30" s="2803">
        <f>ROUND(+J22+J28,2)</f>
        <v>2541139750.4899998</v>
      </c>
    </row>
    <row r="31" spans="1:19">
      <c r="A31" s="2784"/>
      <c r="B31" s="2784"/>
      <c r="C31" s="2808"/>
      <c r="D31" s="2792"/>
      <c r="E31" s="2808"/>
      <c r="F31" s="2792"/>
      <c r="G31" s="2808"/>
      <c r="H31" s="2794"/>
      <c r="I31" s="2793"/>
      <c r="J31" s="2808"/>
      <c r="K31" s="2768"/>
      <c r="L31" s="2768"/>
      <c r="M31" s="2768"/>
      <c r="N31" s="2768"/>
      <c r="O31" s="2809"/>
      <c r="P31" s="2809"/>
      <c r="Q31" s="2809"/>
      <c r="R31" s="2809"/>
      <c r="S31" s="2809"/>
    </row>
    <row r="32" spans="1:19" ht="15.75">
      <c r="A32" s="2788" t="s">
        <v>47</v>
      </c>
      <c r="B32" s="2784"/>
      <c r="C32" s="2794"/>
      <c r="D32" s="2794"/>
      <c r="E32" s="2794"/>
      <c r="F32" s="2794"/>
      <c r="G32" s="2794"/>
      <c r="H32" s="2794"/>
      <c r="I32" s="2793"/>
      <c r="J32" s="2794"/>
      <c r="K32" s="2768"/>
      <c r="L32" s="2768"/>
      <c r="M32" s="2768"/>
      <c r="N32" s="2768"/>
      <c r="O32" s="2809"/>
      <c r="P32" s="2809"/>
      <c r="Q32" s="2809"/>
      <c r="R32" s="2809"/>
      <c r="S32" s="2809"/>
    </row>
    <row r="33" spans="1:19" ht="15.75">
      <c r="A33" s="2788" t="s">
        <v>1209</v>
      </c>
      <c r="B33" s="2784"/>
      <c r="C33" s="2794"/>
      <c r="D33" s="2794"/>
      <c r="E33" s="2794"/>
      <c r="F33" s="2794"/>
      <c r="G33" s="2794"/>
      <c r="H33" s="2794"/>
      <c r="I33" s="2793"/>
      <c r="J33" s="2794"/>
      <c r="K33" s="2768"/>
      <c r="L33" s="2768"/>
      <c r="M33" s="2768"/>
      <c r="N33" s="2768"/>
      <c r="O33" s="2809"/>
      <c r="P33" s="2809"/>
      <c r="Q33" s="2809"/>
      <c r="R33" s="2809"/>
      <c r="S33" s="2809"/>
    </row>
    <row r="34" spans="1:19">
      <c r="A34" s="2784" t="s">
        <v>796</v>
      </c>
      <c r="B34" s="2784"/>
      <c r="C34" s="2748">
        <v>84497</v>
      </c>
      <c r="D34" s="2794"/>
      <c r="E34" s="2748">
        <v>0</v>
      </c>
      <c r="F34" s="2794"/>
      <c r="G34" s="2794">
        <v>0</v>
      </c>
      <c r="H34" s="2795"/>
      <c r="I34" s="2793"/>
      <c r="J34" s="2794">
        <f>SUM(C34:I34)</f>
        <v>84497</v>
      </c>
      <c r="K34" s="2768"/>
      <c r="L34" s="2768"/>
      <c r="M34" s="2768"/>
      <c r="N34" s="2768"/>
      <c r="O34" s="2809"/>
      <c r="P34" s="2809"/>
      <c r="Q34" s="2809"/>
      <c r="R34" s="2809"/>
      <c r="S34" s="2809"/>
    </row>
    <row r="35" spans="1:19">
      <c r="A35" s="2806" t="s">
        <v>797</v>
      </c>
      <c r="B35" s="2784"/>
      <c r="C35" s="2748">
        <v>9690181</v>
      </c>
      <c r="D35" s="2794"/>
      <c r="E35" s="2748">
        <v>10125443</v>
      </c>
      <c r="F35" s="2794"/>
      <c r="G35" s="2794">
        <v>3488136</v>
      </c>
      <c r="H35" s="2795"/>
      <c r="I35" s="2793"/>
      <c r="J35" s="2794">
        <f>SUM(C35:I35)</f>
        <v>23303760</v>
      </c>
      <c r="K35" s="2768"/>
      <c r="L35" s="2768"/>
      <c r="M35" s="2768"/>
      <c r="N35" s="2768"/>
      <c r="O35" s="2809"/>
      <c r="P35" s="2809"/>
      <c r="Q35" s="2809"/>
      <c r="R35" s="2809"/>
      <c r="S35" s="2809"/>
    </row>
    <row r="36" spans="1:19" ht="15.75">
      <c r="A36" s="2788" t="s">
        <v>798</v>
      </c>
      <c r="B36" s="2784"/>
      <c r="C36" s="2794"/>
      <c r="D36" s="2794"/>
      <c r="E36" s="2794"/>
      <c r="F36" s="2794"/>
      <c r="G36" s="2794"/>
      <c r="H36" s="1238"/>
      <c r="I36" s="2793"/>
      <c r="J36" s="2945"/>
      <c r="K36" s="2768"/>
      <c r="L36" s="2768"/>
      <c r="M36" s="2768"/>
      <c r="N36" s="2768"/>
      <c r="O36" s="2809"/>
      <c r="P36" s="2809"/>
      <c r="Q36" s="2809"/>
      <c r="R36" s="2809"/>
      <c r="S36" s="2809"/>
    </row>
    <row r="37" spans="1:19">
      <c r="A37" s="2737" t="s">
        <v>799</v>
      </c>
      <c r="B37" s="2784"/>
      <c r="C37" s="2810">
        <v>0</v>
      </c>
      <c r="D37" s="2794"/>
      <c r="E37" s="2748">
        <v>0</v>
      </c>
      <c r="F37" s="2794"/>
      <c r="G37" s="2794">
        <v>0</v>
      </c>
      <c r="H37" s="2795"/>
      <c r="I37" s="2793"/>
      <c r="J37" s="2794">
        <f>SUM(C37:I37)</f>
        <v>0</v>
      </c>
      <c r="K37" s="2768"/>
      <c r="L37" s="2768"/>
      <c r="M37" s="2768"/>
      <c r="N37" s="2768"/>
      <c r="O37" s="2809"/>
      <c r="P37" s="2809"/>
      <c r="Q37" s="2809"/>
      <c r="R37" s="2809"/>
      <c r="S37" s="2809"/>
    </row>
    <row r="38" spans="1:19" s="2783" customFormat="1" ht="15.75">
      <c r="A38" s="2788" t="s">
        <v>800</v>
      </c>
      <c r="B38" s="2788"/>
      <c r="C38" s="2802">
        <f>ROUND(SUM(C34:C37),2)</f>
        <v>9774678</v>
      </c>
      <c r="D38" s="2800"/>
      <c r="E38" s="2802">
        <f>ROUND(SUM(E34:E37),2)</f>
        <v>10125443</v>
      </c>
      <c r="F38" s="2800"/>
      <c r="G38" s="2802">
        <f>ROUND(SUM(G34:G37),2)</f>
        <v>3488136</v>
      </c>
      <c r="H38" s="2803"/>
      <c r="I38" s="2801"/>
      <c r="J38" s="2802">
        <f>ROUND(SUM(J34:J37),2)</f>
        <v>23388257</v>
      </c>
      <c r="K38" s="2804"/>
      <c r="L38" s="2804"/>
      <c r="M38" s="2804"/>
      <c r="N38" s="2804"/>
      <c r="O38" s="2811"/>
      <c r="P38" s="2811"/>
      <c r="Q38" s="2811"/>
      <c r="R38" s="2811"/>
      <c r="S38" s="2811"/>
    </row>
    <row r="39" spans="1:19">
      <c r="A39" s="2784"/>
      <c r="B39" s="2784"/>
      <c r="C39" s="2792"/>
      <c r="D39" s="2792"/>
      <c r="E39" s="2792"/>
      <c r="F39" s="2792"/>
      <c r="G39" s="2794"/>
      <c r="H39" s="2792"/>
      <c r="I39" s="2793"/>
      <c r="J39" s="2794"/>
      <c r="K39" s="2768"/>
      <c r="L39" s="2768"/>
      <c r="M39" s="2768"/>
      <c r="N39" s="2768"/>
      <c r="O39" s="2809"/>
      <c r="P39" s="2809"/>
      <c r="Q39" s="2809"/>
      <c r="R39" s="2809"/>
      <c r="S39" s="2809"/>
    </row>
    <row r="40" spans="1:19" ht="15.75">
      <c r="A40" s="2788" t="s">
        <v>1271</v>
      </c>
      <c r="B40" s="2784"/>
      <c r="C40" s="2792"/>
      <c r="D40" s="2792"/>
      <c r="E40" s="2792"/>
      <c r="F40" s="2792"/>
      <c r="G40" s="2794"/>
      <c r="H40" s="2792"/>
      <c r="I40" s="2793"/>
      <c r="J40" s="2794"/>
      <c r="K40" s="2768"/>
      <c r="L40" s="2768"/>
      <c r="M40" s="2768"/>
      <c r="N40" s="2768"/>
      <c r="O40" s="2809"/>
      <c r="P40" s="2809"/>
      <c r="Q40" s="2809"/>
      <c r="R40" s="2809"/>
      <c r="S40" s="2809"/>
    </row>
    <row r="41" spans="1:19">
      <c r="A41" s="2784" t="s">
        <v>796</v>
      </c>
      <c r="B41" s="2784"/>
      <c r="C41" s="2738">
        <v>0</v>
      </c>
      <c r="D41" s="2792"/>
      <c r="E41" s="2748">
        <v>0</v>
      </c>
      <c r="F41" s="2792"/>
      <c r="G41" s="2794">
        <v>0</v>
      </c>
      <c r="H41" s="2795"/>
      <c r="I41" s="2793"/>
      <c r="J41" s="2794">
        <f>SUM(C41:I41)</f>
        <v>0</v>
      </c>
      <c r="K41" s="2768"/>
      <c r="L41" s="2768"/>
      <c r="M41" s="2768"/>
      <c r="N41" s="2768"/>
      <c r="O41" s="2809"/>
      <c r="P41" s="2809"/>
      <c r="Q41" s="2809"/>
      <c r="R41" s="2809"/>
      <c r="S41" s="2809"/>
    </row>
    <row r="42" spans="1:19">
      <c r="A42" s="2784" t="s">
        <v>801</v>
      </c>
      <c r="B42" s="2784"/>
      <c r="C42" s="2792">
        <v>0</v>
      </c>
      <c r="D42" s="2792"/>
      <c r="E42" s="2748">
        <v>0</v>
      </c>
      <c r="F42" s="2792"/>
      <c r="G42" s="2794">
        <v>0</v>
      </c>
      <c r="H42" s="2795"/>
      <c r="I42" s="2793"/>
      <c r="J42" s="2794">
        <f>SUM(C42:I42)</f>
        <v>0</v>
      </c>
      <c r="K42" s="2768"/>
      <c r="L42" s="2768"/>
      <c r="M42" s="2768"/>
      <c r="N42" s="2768"/>
      <c r="O42" s="2809"/>
      <c r="P42" s="2809"/>
      <c r="Q42" s="2809"/>
      <c r="R42" s="2809"/>
      <c r="S42" s="2809"/>
    </row>
    <row r="43" spans="1:19" ht="15.75">
      <c r="A43" s="2788" t="s">
        <v>1272</v>
      </c>
      <c r="B43" s="2784"/>
      <c r="C43" s="2792"/>
      <c r="D43" s="2792"/>
      <c r="E43" s="2792"/>
      <c r="F43" s="2792"/>
      <c r="G43" s="2794"/>
      <c r="H43" s="2792"/>
      <c r="I43" s="2793"/>
      <c r="J43" s="2946"/>
      <c r="K43" s="2768"/>
      <c r="L43" s="2768"/>
      <c r="M43" s="2768"/>
      <c r="N43" s="2768"/>
      <c r="O43" s="2809"/>
      <c r="P43" s="2809"/>
      <c r="Q43" s="2809"/>
      <c r="R43" s="2809"/>
      <c r="S43" s="2809"/>
    </row>
    <row r="44" spans="1:19">
      <c r="A44" s="2806" t="s">
        <v>799</v>
      </c>
      <c r="B44" s="2784"/>
      <c r="C44" s="2748">
        <v>-860289460.54999995</v>
      </c>
      <c r="D44" s="2792"/>
      <c r="E44" s="2748">
        <v>-869686230.36999989</v>
      </c>
      <c r="F44" s="2792"/>
      <c r="G44" s="2794">
        <v>-438017444.63999999</v>
      </c>
      <c r="H44" s="2795"/>
      <c r="I44" s="2793"/>
      <c r="J44" s="2794">
        <f>SUM(C44:I44)</f>
        <v>-2167993135.5599999</v>
      </c>
      <c r="K44" s="2768"/>
      <c r="L44" s="2768"/>
      <c r="M44" s="2768"/>
      <c r="N44" s="2768"/>
      <c r="O44" s="2809"/>
      <c r="P44" s="2809"/>
      <c r="Q44" s="2809"/>
      <c r="R44" s="2809"/>
      <c r="S44" s="2809"/>
    </row>
    <row r="45" spans="1:19">
      <c r="A45" s="2784" t="s">
        <v>802</v>
      </c>
      <c r="B45" s="2784"/>
      <c r="C45" s="2748">
        <v>-192570854.06999999</v>
      </c>
      <c r="D45" s="2792"/>
      <c r="E45" s="2748">
        <v>-218725881.63</v>
      </c>
      <c r="F45" s="2792"/>
      <c r="G45" s="2794">
        <v>70737087.519999996</v>
      </c>
      <c r="H45" s="2795"/>
      <c r="I45" s="2793"/>
      <c r="J45" s="2794">
        <f>SUM(C45:I45)</f>
        <v>-340559648.18000001</v>
      </c>
      <c r="K45" s="2768"/>
      <c r="L45" s="2768"/>
      <c r="M45" s="2768"/>
      <c r="N45" s="2768"/>
      <c r="O45" s="2809"/>
      <c r="P45" s="2809"/>
      <c r="Q45" s="2809"/>
      <c r="R45" s="2809"/>
      <c r="S45" s="2809"/>
    </row>
    <row r="46" spans="1:19">
      <c r="A46" s="2784" t="s">
        <v>803</v>
      </c>
      <c r="B46" s="2784"/>
      <c r="C46" s="2812">
        <v>402794.54</v>
      </c>
      <c r="D46" s="2792"/>
      <c r="E46" s="2748">
        <v>-18364144.190000001</v>
      </c>
      <c r="F46" s="2792"/>
      <c r="G46" s="2812">
        <v>-9655282.4900000002</v>
      </c>
      <c r="H46" s="2795"/>
      <c r="I46" s="2793"/>
      <c r="J46" s="2794">
        <f>SUM(C46:I46)</f>
        <v>-27616632.140000001</v>
      </c>
      <c r="K46" s="2768"/>
      <c r="L46" s="2768"/>
      <c r="M46" s="2768"/>
      <c r="N46" s="2768"/>
      <c r="O46" s="2809"/>
      <c r="P46" s="2809"/>
      <c r="Q46" s="2809"/>
      <c r="R46" s="2809"/>
      <c r="S46" s="2809"/>
    </row>
    <row r="47" spans="1:19" ht="15.75">
      <c r="A47" s="2788" t="s">
        <v>804</v>
      </c>
      <c r="B47" s="2788"/>
      <c r="C47" s="2802">
        <f>ROUND(SUM(C41:C46),2)</f>
        <v>-1052457520.08</v>
      </c>
      <c r="D47" s="2800"/>
      <c r="E47" s="2802">
        <f>ROUND(SUM(E41:E46),2)</f>
        <v>-1106776256.1900001</v>
      </c>
      <c r="F47" s="2800"/>
      <c r="G47" s="2802">
        <f>ROUND(SUM(G41:G46),2)</f>
        <v>-376935639.61000001</v>
      </c>
      <c r="H47" s="2803"/>
      <c r="I47" s="2801"/>
      <c r="J47" s="2802">
        <f>ROUND(SUM(J41:J46),2)</f>
        <v>-2536169415.8800001</v>
      </c>
      <c r="K47" s="2768"/>
      <c r="L47" s="2768"/>
      <c r="M47" s="2768"/>
      <c r="N47" s="2768"/>
      <c r="O47" s="2809"/>
      <c r="P47" s="2809"/>
      <c r="Q47" s="2809"/>
      <c r="R47" s="2809"/>
      <c r="S47" s="2809"/>
    </row>
    <row r="48" spans="1:19">
      <c r="A48" s="2784"/>
      <c r="B48" s="2784"/>
      <c r="C48" s="2792"/>
      <c r="D48" s="2792"/>
      <c r="E48" s="2792"/>
      <c r="F48" s="2792"/>
      <c r="G48" s="2794"/>
      <c r="H48" s="2792"/>
      <c r="I48" s="2793"/>
      <c r="J48" s="2794"/>
      <c r="K48" s="2768"/>
      <c r="L48" s="2768"/>
      <c r="M48" s="2768"/>
      <c r="N48" s="2768"/>
      <c r="O48" s="2809"/>
      <c r="P48" s="2809"/>
      <c r="Q48" s="2809"/>
      <c r="R48" s="2809"/>
      <c r="S48" s="2809"/>
    </row>
    <row r="49" spans="1:19" ht="15.75">
      <c r="A49" s="2788" t="s">
        <v>805</v>
      </c>
      <c r="B49" s="2784"/>
      <c r="C49" s="2792"/>
      <c r="D49" s="2792"/>
      <c r="E49" s="2792"/>
      <c r="F49" s="2792"/>
      <c r="G49" s="2794"/>
      <c r="H49" s="2792"/>
      <c r="I49" s="2793"/>
      <c r="J49" s="2794"/>
      <c r="K49" s="2768"/>
      <c r="L49" s="2768"/>
      <c r="M49" s="2768"/>
      <c r="N49" s="2768"/>
      <c r="O49" s="2809"/>
      <c r="P49" s="2809"/>
      <c r="Q49" s="2809"/>
      <c r="R49" s="2809"/>
      <c r="S49" s="2809"/>
    </row>
    <row r="50" spans="1:19" ht="15.75">
      <c r="A50" s="2788" t="s">
        <v>806</v>
      </c>
      <c r="B50" s="2784"/>
      <c r="C50" s="2799">
        <f>ROUND(+C30+C38+C47,2)</f>
        <v>51295895.359999999</v>
      </c>
      <c r="D50" s="2803"/>
      <c r="E50" s="2799">
        <f>ROUND(+E30+E38+E47,2)</f>
        <v>-29785827.469999999</v>
      </c>
      <c r="F50" s="2803"/>
      <c r="G50" s="2799">
        <f>ROUND(+G30+G38+G47,2)</f>
        <v>6848523.7199999997</v>
      </c>
      <c r="H50" s="2803"/>
      <c r="I50" s="2807"/>
      <c r="J50" s="2799">
        <f>ROUND(+J30+J38+J47,2)</f>
        <v>28358591.609999999</v>
      </c>
      <c r="K50" s="2768"/>
      <c r="L50" s="2768"/>
      <c r="M50" s="2768"/>
      <c r="N50" s="2768"/>
      <c r="O50" s="2809"/>
      <c r="P50" s="2809"/>
      <c r="Q50" s="2809"/>
      <c r="R50" s="2809"/>
      <c r="S50" s="2809"/>
    </row>
    <row r="51" spans="1:19">
      <c r="A51" s="2784"/>
      <c r="B51" s="2784"/>
      <c r="C51" s="2786"/>
      <c r="D51" s="2774"/>
      <c r="E51" s="2786"/>
      <c r="F51" s="2774"/>
      <c r="G51" s="2774"/>
      <c r="H51" s="2786"/>
      <c r="I51" s="2813"/>
      <c r="J51" s="2794"/>
      <c r="K51" s="2768"/>
      <c r="L51" s="2768"/>
      <c r="M51" s="2768"/>
      <c r="N51" s="2768"/>
      <c r="O51" s="2809"/>
      <c r="P51" s="2809"/>
      <c r="Q51" s="2809"/>
      <c r="R51" s="2809"/>
      <c r="S51" s="2809"/>
    </row>
    <row r="52" spans="1:19" s="2783" customFormat="1" ht="16.5" thickBot="1">
      <c r="A52" s="2788" t="s">
        <v>807</v>
      </c>
      <c r="B52" s="2788"/>
      <c r="C52" s="2789">
        <f>ROUND(C12+C50,2)</f>
        <v>300577699.85000002</v>
      </c>
      <c r="D52" s="2789"/>
      <c r="E52" s="2789">
        <f>ROUND(E12+E50,2)</f>
        <v>270791872.38</v>
      </c>
      <c r="F52" s="2789"/>
      <c r="G52" s="2942">
        <f>ROUND(G12+G50,2)</f>
        <v>277640396.10000002</v>
      </c>
      <c r="H52" s="2789"/>
      <c r="I52" s="2814"/>
      <c r="J52" s="2942">
        <f>ROUND(J12+J50,2)</f>
        <v>277640396.10000002</v>
      </c>
      <c r="K52" s="2765"/>
      <c r="L52" s="2765"/>
      <c r="M52" s="2765"/>
      <c r="N52" s="2765"/>
    </row>
    <row r="53" spans="1:19" ht="15.75" thickTop="1">
      <c r="A53" s="2784" t="s">
        <v>16</v>
      </c>
      <c r="B53" s="2784"/>
      <c r="C53" s="2815"/>
      <c r="D53" s="2786"/>
      <c r="E53" s="2815"/>
      <c r="F53" s="2786"/>
      <c r="G53" s="2815"/>
      <c r="H53" s="2774"/>
      <c r="I53" s="2774"/>
      <c r="J53" s="2815"/>
    </row>
    <row r="54" spans="1:19">
      <c r="A54" s="2762" t="s">
        <v>808</v>
      </c>
    </row>
    <row r="55" spans="1:19">
      <c r="A55" s="2816"/>
    </row>
    <row r="56" spans="1:19">
      <c r="A56" s="2816"/>
    </row>
    <row r="65" spans="7:7" ht="15.75">
      <c r="G65" s="2765"/>
    </row>
    <row r="71" spans="7:7" ht="15.75">
      <c r="G71" s="2765"/>
    </row>
  </sheetData>
  <customSheetViews>
    <customSheetView guid="{BD09DBC2-63A5-4D9C-9B00-4281066E9389}" scale="78" showPageBreaks="1" showGridLines="0" fitToPage="1" printArea="1">
      <selection activeCell="I11" sqref="I11"/>
      <pageMargins left="0.24" right="0.24" top="0.5" bottom="0.5" header="0.18" footer="0.25"/>
      <printOptions horizontalCentered="1" verticalCentered="1"/>
      <pageSetup scale="10" firstPageNumber="52" orientation="landscape" useFirstPageNumber="1" r:id="rId1"/>
      <headerFooter scaleWithDoc="0" alignWithMargins="0">
        <oddFooter>&amp;C&amp;8&amp;P</oddFooter>
      </headerFooter>
    </customSheetView>
    <customSheetView guid="{C82E0A7D-2B5B-48FC-A705-3168E651E04C}" scale="78" showPageBreaks="1" showGridLines="0" fitToPage="1" printArea="1">
      <selection activeCell="G11" sqref="G11"/>
      <pageMargins left="0.24" right="0.24" top="0.5" bottom="0.5" header="0.18" footer="0.25"/>
      <printOptions horizontalCentered="1" verticalCentered="1"/>
      <pageSetup scale="58" orientation="landscape" r:id="rId2"/>
      <headerFooter scaleWithDoc="0" alignWithMargins="0">
        <oddFooter>&amp;C&amp;8 52</oddFooter>
      </headerFooter>
    </customSheetView>
    <customSheetView guid="{A8B05C3B-0E7E-44A3-A097-AF4C5C09F04E}" scale="78" showPageBreaks="1" showGridLines="0" fitToPage="1" printArea="1">
      <selection activeCell="G11" sqref="G11"/>
      <pageMargins left="0.24" right="0.24" top="0.5" bottom="0.5" header="0.18" footer="0.25"/>
      <printOptions horizontalCentered="1" verticalCentered="1"/>
      <pageSetup scale="58" orientation="landscape" r:id="rId3"/>
      <headerFooter scaleWithDoc="0" alignWithMargins="0">
        <oddFooter>&amp;C&amp;8 52</oddFooter>
      </headerFooter>
    </customSheetView>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4"/>
      <headerFooter scaleWithDoc="0" alignWithMargins="0">
        <oddFooter>&amp;C&amp;8 52</oddFooter>
      </headerFooter>
    </customSheetView>
    <customSheetView guid="{4735AAE3-27B4-4549-AAB4-50ACA997F5F5}" scale="78" showPageBreaks="1" showGridLines="0" fitToPage="1" printArea="1">
      <selection activeCell="A36" sqref="A36"/>
      <pageMargins left="0.24" right="0.24" top="0.5" bottom="0.5" header="0.18" footer="0.25"/>
      <printOptions horizontalCentered="1" verticalCentered="1"/>
      <pageSetup scale="55" orientation="landscape" r:id="rId5"/>
      <headerFooter scaleWithDoc="0" alignWithMargins="0">
        <oddFooter>&amp;C&amp;8 52</oddFooter>
      </headerFooter>
    </customSheetView>
    <customSheetView guid="{80622567-647A-4891-B8EE-6B9E2C4DAC44}" scale="78" showPageBreaks="1" showGridLines="0" fitToPage="1" printArea="1" topLeftCell="A7">
      <selection activeCell="C38" sqref="C38"/>
      <pageMargins left="0.24" right="0.24" top="0.5" bottom="0.5" header="0.18" footer="0.25"/>
      <printOptions horizontalCentered="1" verticalCentered="1"/>
      <pageSetup scale="58" orientation="landscape" r:id="rId6"/>
      <headerFooter scaleWithDoc="0" alignWithMargins="0">
        <oddFooter>&amp;C&amp;8 52</oddFooter>
      </headerFooter>
    </customSheetView>
    <customSheetView guid="{A97EE6C3-4DA8-41BD-BE43-F596EFCB43CA}" scale="78" showPageBreaks="1" showGridLines="0" fitToPage="1" printArea="1">
      <selection activeCell="H4" sqref="H4"/>
      <pageMargins left="0.24" right="0.24" top="0.5" bottom="0.5" header="0.18" footer="0.25"/>
      <printOptions horizontalCentered="1" verticalCentered="1"/>
      <pageSetup scale="58" orientation="landscape" r:id="rId7"/>
      <headerFooter scaleWithDoc="0" alignWithMargins="0">
        <oddFooter>&amp;C&amp;8 52</oddFooter>
      </headerFooter>
    </customSheetView>
    <customSheetView guid="{90B76C5A-2FC4-40F0-8436-3E4F075A4887}" scale="70" showPageBreaks="1" showGridLines="0" fitToPage="1" printArea="1">
      <selection activeCell="C38" sqref="C38"/>
      <pageMargins left="0.24" right="0.24" top="0.5" bottom="0.5" header="0.18" footer="0.25"/>
      <printOptions horizontalCentered="1" verticalCentered="1"/>
      <pageSetup scale="65" orientation="landscape" r:id="rId8"/>
      <headerFooter scaleWithDoc="0" alignWithMargins="0">
        <oddFooter>&amp;C&amp;8 52</oddFooter>
      </headerFooter>
    </customSheetView>
  </customSheetViews>
  <mergeCells count="2">
    <mergeCell ref="A6:H6"/>
    <mergeCell ref="A7:H7"/>
  </mergeCells>
  <printOptions horizontalCentered="1" verticalCentered="1"/>
  <pageMargins left="0.24" right="0.24" top="0.5" bottom="0.5" header="0.18" footer="0.25"/>
  <pageSetup scale="57" firstPageNumber="52" orientation="landscape" useFirstPageNumber="1" r:id="rId9"/>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sheetPr codeName="Sheet39">
    <pageSetUpPr fitToPage="1"/>
  </sheetPr>
  <dimension ref="A1:AT62"/>
  <sheetViews>
    <sheetView showGridLines="0" zoomScaleNormal="80" workbookViewId="0"/>
  </sheetViews>
  <sheetFormatPr defaultRowHeight="15"/>
  <cols>
    <col min="1" max="1" width="1.6640625" style="2709" customWidth="1"/>
    <col min="2" max="2" width="45.109375" style="2709" customWidth="1"/>
    <col min="3" max="3" width="4.5546875" style="2710" customWidth="1"/>
    <col min="4" max="4" width="21" style="2711" customWidth="1"/>
    <col min="5" max="5" width="1.6640625" style="2710" customWidth="1"/>
    <col min="6" max="6" width="19.88671875" style="2710" customWidth="1"/>
    <col min="7" max="7" width="2.44140625" style="2711" customWidth="1"/>
    <col min="8" max="8" width="15.109375" style="2710" bestFit="1" customWidth="1"/>
    <col min="9" max="10" width="1.6640625" style="2711" customWidth="1"/>
    <col min="11" max="11" width="19" style="2711" customWidth="1"/>
    <col min="12" max="13" width="8.88671875" style="2710"/>
    <col min="14" max="14" width="24.21875" style="2710" customWidth="1"/>
    <col min="15" max="16" width="8.88671875" style="2710"/>
    <col min="17" max="16384" width="8.88671875" style="2709"/>
  </cols>
  <sheetData>
    <row r="1" spans="1:41">
      <c r="B1" s="1227" t="s">
        <v>1322</v>
      </c>
    </row>
    <row r="3" spans="1:41" ht="18">
      <c r="I3" s="2710"/>
      <c r="K3" s="2947" t="s">
        <v>809</v>
      </c>
    </row>
    <row r="4" spans="1:41" ht="15.75">
      <c r="I4" s="2730"/>
      <c r="K4" s="2948"/>
    </row>
    <row r="5" spans="1:41" s="2714" customFormat="1" ht="18" customHeight="1">
      <c r="A5" s="2712"/>
      <c r="B5" s="2715" t="s">
        <v>542</v>
      </c>
      <c r="C5" s="2949"/>
      <c r="D5" s="2949"/>
      <c r="E5" s="2949"/>
      <c r="F5" s="2949"/>
      <c r="G5" s="2949"/>
      <c r="H5" s="2949"/>
      <c r="I5" s="2950"/>
      <c r="J5" s="2950"/>
      <c r="K5" s="2949"/>
      <c r="L5" s="2713"/>
      <c r="M5" s="2713"/>
      <c r="N5" s="2713"/>
      <c r="O5" s="2713"/>
      <c r="P5" s="2713"/>
    </row>
    <row r="6" spans="1:41" s="2714" customFormat="1" ht="18" customHeight="1">
      <c r="A6" s="2712"/>
      <c r="B6" s="2715" t="s">
        <v>1362</v>
      </c>
      <c r="C6" s="2716"/>
      <c r="D6" s="2716"/>
      <c r="E6" s="2716"/>
      <c r="F6" s="2716"/>
      <c r="G6" s="2716"/>
      <c r="H6" s="2716"/>
      <c r="I6" s="2716"/>
      <c r="J6" s="2762"/>
      <c r="K6" s="2737"/>
      <c r="L6" s="2713"/>
      <c r="M6" s="2713"/>
      <c r="N6" s="2713"/>
      <c r="O6" s="2713"/>
      <c r="P6" s="2713"/>
    </row>
    <row r="7" spans="1:41" s="2714" customFormat="1" ht="18" customHeight="1">
      <c r="A7" s="2712"/>
      <c r="B7" s="3392" t="s">
        <v>1175</v>
      </c>
      <c r="C7" s="3393"/>
      <c r="D7" s="3393"/>
      <c r="E7" s="3393"/>
      <c r="F7" s="3393"/>
      <c r="G7" s="3393"/>
      <c r="H7" s="3393"/>
      <c r="I7" s="3393"/>
      <c r="J7" s="2950"/>
      <c r="K7" s="2949"/>
      <c r="L7" s="2713"/>
      <c r="M7" s="2713"/>
      <c r="N7" s="2713"/>
      <c r="O7" s="2713"/>
      <c r="P7" s="2713"/>
    </row>
    <row r="8" spans="1:41" s="2714" customFormat="1" ht="18" customHeight="1">
      <c r="A8" s="2712"/>
      <c r="B8" s="3394"/>
      <c r="C8" s="3395"/>
      <c r="D8" s="3395"/>
      <c r="E8" s="3395"/>
      <c r="F8" s="3395"/>
      <c r="G8" s="3395"/>
      <c r="H8" s="3395"/>
      <c r="I8" s="3395"/>
      <c r="J8" s="2951"/>
      <c r="K8" s="2951"/>
      <c r="L8" s="2717"/>
      <c r="M8" s="2713"/>
      <c r="N8" s="2713"/>
      <c r="O8" s="2713"/>
      <c r="P8" s="2713"/>
    </row>
    <row r="9" spans="1:41" s="2714" customFormat="1" ht="18" customHeight="1">
      <c r="A9" s="2712"/>
      <c r="B9" s="2718"/>
      <c r="C9" s="2719"/>
      <c r="D9" s="2719"/>
      <c r="E9" s="2719"/>
      <c r="F9" s="2719"/>
      <c r="G9" s="2719"/>
      <c r="H9" s="2719"/>
      <c r="I9" s="2719"/>
      <c r="J9" s="2719"/>
      <c r="K9" s="2719"/>
      <c r="L9" s="2717"/>
      <c r="M9" s="2713"/>
      <c r="N9" s="2713"/>
      <c r="O9" s="2713"/>
      <c r="P9" s="2713"/>
    </row>
    <row r="10" spans="1:41" s="2725" customFormat="1" ht="15.75">
      <c r="A10" s="2720"/>
      <c r="B10" s="2720"/>
      <c r="C10" s="2721"/>
      <c r="D10" s="2722" t="s">
        <v>1580</v>
      </c>
      <c r="E10" s="2721"/>
      <c r="F10" s="2722" t="s">
        <v>1580</v>
      </c>
      <c r="G10" s="3214"/>
      <c r="H10" s="2722">
        <v>2014</v>
      </c>
      <c r="I10" s="2723"/>
      <c r="J10" s="2723"/>
      <c r="K10" s="2723"/>
      <c r="L10" s="2724"/>
      <c r="M10" s="2724"/>
      <c r="N10" s="2724"/>
      <c r="O10" s="2724"/>
      <c r="P10" s="2724"/>
    </row>
    <row r="11" spans="1:41" ht="15.75">
      <c r="A11" s="2726"/>
      <c r="B11" s="2726"/>
      <c r="C11" s="2727"/>
      <c r="D11" s="2728" t="s">
        <v>1581</v>
      </c>
      <c r="E11" s="2727"/>
      <c r="F11" s="3331" t="s">
        <v>1653</v>
      </c>
      <c r="G11" s="3215"/>
      <c r="H11" s="2728" t="s">
        <v>151</v>
      </c>
      <c r="I11" s="2727"/>
      <c r="J11" s="2730"/>
      <c r="K11" s="2729" t="s">
        <v>1180</v>
      </c>
    </row>
    <row r="12" spans="1:41">
      <c r="A12" s="2726"/>
      <c r="B12" s="2726"/>
      <c r="C12" s="2727"/>
      <c r="D12" s="2727"/>
      <c r="E12" s="2730"/>
      <c r="F12" s="2730"/>
      <c r="G12" s="2727"/>
      <c r="H12" s="2730"/>
      <c r="I12" s="2730"/>
      <c r="J12" s="2730"/>
      <c r="K12" s="2731"/>
    </row>
    <row r="13" spans="1:41" s="2725" customFormat="1" ht="15.75">
      <c r="A13" s="2732"/>
      <c r="B13" s="2732" t="s">
        <v>517</v>
      </c>
      <c r="C13" s="2721"/>
      <c r="D13" s="2733">
        <v>521.91</v>
      </c>
      <c r="E13" s="2734"/>
      <c r="F13" s="2734">
        <f>+D49</f>
        <v>1507.89</v>
      </c>
      <c r="G13" s="2733"/>
      <c r="H13" s="2734">
        <f>+F49</f>
        <v>2486.0100000000002</v>
      </c>
      <c r="I13" s="2733"/>
      <c r="J13" s="2952"/>
      <c r="K13" s="2734">
        <f>+D13</f>
        <v>521.91</v>
      </c>
      <c r="L13" s="2724"/>
      <c r="M13" s="2724"/>
      <c r="N13" s="2724"/>
      <c r="O13" s="2724"/>
      <c r="P13" s="2724"/>
      <c r="Q13" s="2735"/>
      <c r="R13" s="2735"/>
      <c r="S13" s="2735"/>
      <c r="T13" s="2735"/>
      <c r="U13" s="2735"/>
      <c r="V13" s="2735"/>
      <c r="W13" s="2735"/>
      <c r="X13" s="2735"/>
      <c r="Y13" s="2735"/>
      <c r="Z13" s="2735"/>
      <c r="AA13" s="2735"/>
      <c r="AB13" s="2736"/>
      <c r="AC13" s="2736"/>
      <c r="AD13" s="2736"/>
      <c r="AE13" s="2736"/>
      <c r="AF13" s="2736"/>
      <c r="AG13" s="2736"/>
      <c r="AH13" s="2736"/>
      <c r="AI13" s="2736"/>
      <c r="AJ13" s="2736"/>
      <c r="AK13" s="2736"/>
      <c r="AL13" s="2736"/>
      <c r="AM13" s="2736"/>
      <c r="AN13" s="2736"/>
      <c r="AO13" s="2736"/>
    </row>
    <row r="14" spans="1:41" s="2725" customFormat="1" ht="15.75">
      <c r="A14" s="2732"/>
      <c r="B14" s="2732"/>
      <c r="C14" s="2721"/>
      <c r="D14" s="2733"/>
      <c r="E14" s="2734"/>
      <c r="F14" s="2734"/>
      <c r="G14" s="2733"/>
      <c r="H14" s="2734"/>
      <c r="I14" s="2733"/>
      <c r="J14" s="2952"/>
      <c r="K14" s="2734"/>
      <c r="L14" s="2724"/>
      <c r="M14" s="2724"/>
      <c r="N14" s="2724"/>
      <c r="O14" s="2724"/>
      <c r="P14" s="2724"/>
      <c r="Q14" s="2735"/>
      <c r="R14" s="2735"/>
      <c r="S14" s="2735"/>
      <c r="T14" s="2735"/>
      <c r="U14" s="2735"/>
      <c r="V14" s="2735"/>
      <c r="W14" s="2735"/>
      <c r="X14" s="2735"/>
      <c r="Y14" s="2735"/>
      <c r="Z14" s="2735"/>
      <c r="AA14" s="2735"/>
      <c r="AB14" s="2736"/>
      <c r="AC14" s="2736"/>
      <c r="AD14" s="2736"/>
      <c r="AE14" s="2736"/>
      <c r="AF14" s="2736"/>
      <c r="AG14" s="2736"/>
      <c r="AH14" s="2736"/>
      <c r="AI14" s="2736"/>
      <c r="AJ14" s="2736"/>
      <c r="AK14" s="2736"/>
      <c r="AL14" s="2736"/>
      <c r="AM14" s="2736"/>
      <c r="AN14" s="2736"/>
      <c r="AO14" s="2736"/>
    </row>
    <row r="15" spans="1:41" ht="15.75">
      <c r="A15" s="2726"/>
      <c r="B15" s="2732" t="s">
        <v>15</v>
      </c>
      <c r="C15" s="2727"/>
      <c r="D15" s="2727"/>
      <c r="E15" s="2730"/>
      <c r="F15" s="2730"/>
      <c r="G15" s="2727"/>
      <c r="H15" s="2730"/>
      <c r="I15" s="2727"/>
      <c r="J15" s="2953"/>
      <c r="K15" s="2730"/>
    </row>
    <row r="16" spans="1:41">
      <c r="A16" s="2726"/>
      <c r="B16" s="2737" t="s">
        <v>790</v>
      </c>
      <c r="C16" s="2727"/>
      <c r="D16" s="2738">
        <v>1849.63</v>
      </c>
      <c r="E16" s="2739"/>
      <c r="F16" s="2739">
        <v>2825.5800000000004</v>
      </c>
      <c r="G16" s="2738"/>
      <c r="H16" s="2739">
        <v>358.05</v>
      </c>
      <c r="I16" s="2739"/>
      <c r="J16" s="2954"/>
      <c r="K16" s="2739">
        <f>ROUND(SUM(D16:I16),2)</f>
        <v>5033.26</v>
      </c>
    </row>
    <row r="17" spans="1:21" s="2725" customFormat="1" ht="15.75">
      <c r="A17" s="2732"/>
      <c r="B17" s="2732" t="s">
        <v>158</v>
      </c>
      <c r="C17" s="2721"/>
      <c r="D17" s="2740">
        <f>ROUND(SUM(D16:D16),2)</f>
        <v>1849.63</v>
      </c>
      <c r="E17" s="2741"/>
      <c r="F17" s="2740">
        <f>ROUND(SUM(F16:F16),2)</f>
        <v>2825.58</v>
      </c>
      <c r="G17" s="2741"/>
      <c r="H17" s="2740">
        <f>ROUND(SUM(H16:H16),2)</f>
        <v>358.05</v>
      </c>
      <c r="I17" s="2741"/>
      <c r="J17" s="2955"/>
      <c r="K17" s="2740">
        <f>ROUND(SUM(K16:K16),2)</f>
        <v>5033.26</v>
      </c>
      <c r="L17" s="2724"/>
      <c r="M17" s="2724"/>
      <c r="N17" s="2724"/>
      <c r="O17" s="2724"/>
      <c r="P17" s="2724"/>
    </row>
    <row r="18" spans="1:21">
      <c r="A18" s="2726"/>
      <c r="B18" s="2726"/>
      <c r="C18" s="2727"/>
      <c r="D18" s="2738"/>
      <c r="E18" s="2739"/>
      <c r="F18" s="2739"/>
      <c r="G18" s="2738"/>
      <c r="H18" s="2739"/>
      <c r="I18" s="2739"/>
      <c r="J18" s="2954"/>
      <c r="K18" s="2742"/>
    </row>
    <row r="19" spans="1:21" ht="15.75">
      <c r="A19" s="2726"/>
      <c r="B19" s="2732" t="s">
        <v>1273</v>
      </c>
      <c r="C19" s="2727"/>
      <c r="D19" s="2738"/>
      <c r="E19" s="2739"/>
      <c r="F19" s="2739"/>
      <c r="G19" s="2738"/>
      <c r="H19" s="2739"/>
      <c r="I19" s="2738"/>
      <c r="J19" s="2954"/>
      <c r="K19" s="2739"/>
    </row>
    <row r="20" spans="1:21">
      <c r="A20" s="2726"/>
      <c r="B20" s="2737" t="s">
        <v>810</v>
      </c>
      <c r="C20" s="2727"/>
      <c r="D20" s="2738">
        <v>-190159937.91</v>
      </c>
      <c r="E20" s="2739"/>
      <c r="F20" s="2739">
        <v>-224059343.52000001</v>
      </c>
      <c r="G20" s="2738"/>
      <c r="H20" s="2739">
        <v>-62100876.439999998</v>
      </c>
      <c r="I20" s="2739"/>
      <c r="J20" s="2954"/>
      <c r="K20" s="2739">
        <f>ROUND(SUM(D20:I20),2)</f>
        <v>-476320157.87</v>
      </c>
    </row>
    <row r="21" spans="1:21">
      <c r="A21" s="2726"/>
      <c r="B21" s="2737" t="s">
        <v>811</v>
      </c>
      <c r="C21" s="2727"/>
      <c r="D21" s="2738">
        <v>0</v>
      </c>
      <c r="E21" s="2739"/>
      <c r="F21" s="2739">
        <v>0</v>
      </c>
      <c r="G21" s="2738"/>
      <c r="H21" s="2739">
        <v>0</v>
      </c>
      <c r="I21" s="2739"/>
      <c r="J21" s="2954"/>
      <c r="K21" s="2739">
        <f>ROUND(SUM(D21:G21),2)</f>
        <v>0</v>
      </c>
    </row>
    <row r="22" spans="1:21">
      <c r="A22" s="2726"/>
      <c r="B22" s="2737" t="s">
        <v>812</v>
      </c>
      <c r="C22" s="2727"/>
      <c r="D22" s="2738">
        <v>0</v>
      </c>
      <c r="E22" s="2739"/>
      <c r="F22" s="2739">
        <v>-3986606.97</v>
      </c>
      <c r="G22" s="2738"/>
      <c r="H22" s="2739">
        <v>-2289631.0099999998</v>
      </c>
      <c r="I22" s="2739"/>
      <c r="J22" s="2954"/>
      <c r="K22" s="2739">
        <f>ROUND(SUM(D22:I22),2)</f>
        <v>-6276237.9800000004</v>
      </c>
    </row>
    <row r="23" spans="1:21" s="2725" customFormat="1" ht="15.75">
      <c r="A23" s="2732"/>
      <c r="B23" s="2743" t="s">
        <v>1304</v>
      </c>
      <c r="C23" s="2721"/>
      <c r="D23" s="2744">
        <f>ROUND(SUM(D19:D22),2)</f>
        <v>-190159937.91</v>
      </c>
      <c r="E23" s="2741"/>
      <c r="F23" s="2744">
        <f>ROUND(SUM(F19:F22),2)</f>
        <v>-228045950.49000001</v>
      </c>
      <c r="G23" s="2741"/>
      <c r="H23" s="2744">
        <f>ROUND(SUM(H19:H22),2)</f>
        <v>-64390507.450000003</v>
      </c>
      <c r="I23" s="2741"/>
      <c r="J23" s="2955"/>
      <c r="K23" s="2744">
        <f>ROUND(SUM(K19:K22),2)</f>
        <v>-482596395.85000002</v>
      </c>
      <c r="L23" s="2724"/>
      <c r="M23" s="2724"/>
      <c r="N23" s="2724"/>
      <c r="O23" s="2724"/>
      <c r="P23" s="2724"/>
    </row>
    <row r="24" spans="1:21">
      <c r="A24" s="2726"/>
      <c r="B24" s="2745"/>
      <c r="C24" s="2727"/>
      <c r="D24" s="2742"/>
      <c r="E24" s="2739"/>
      <c r="F24" s="2742"/>
      <c r="G24" s="2739"/>
      <c r="H24" s="2742"/>
      <c r="I24" s="2739"/>
      <c r="J24" s="2954"/>
      <c r="K24" s="2742"/>
    </row>
    <row r="25" spans="1:21" s="2725" customFormat="1" ht="15.75">
      <c r="A25" s="2732"/>
      <c r="B25" s="2732" t="s">
        <v>795</v>
      </c>
      <c r="C25" s="2721"/>
      <c r="D25" s="2746">
        <f>ROUND(+D17+D23,2)</f>
        <v>-190158088.28</v>
      </c>
      <c r="E25" s="2746"/>
      <c r="F25" s="2746">
        <f>ROUND(+F17+F23,2)</f>
        <v>-228043124.91</v>
      </c>
      <c r="G25" s="2746"/>
      <c r="H25" s="2746">
        <f>ROUND(+H17+H23,2)</f>
        <v>-64390149.399999999</v>
      </c>
      <c r="I25" s="2746"/>
      <c r="J25" s="2956"/>
      <c r="K25" s="2746">
        <f>ROUND(+K17+K23,2)</f>
        <v>-482591362.58999997</v>
      </c>
      <c r="L25" s="2724"/>
      <c r="M25" s="2724"/>
      <c r="N25" s="2724"/>
      <c r="O25" s="2724"/>
      <c r="P25" s="2724"/>
    </row>
    <row r="26" spans="1:21">
      <c r="A26" s="2726"/>
      <c r="B26" s="2726"/>
      <c r="C26" s="2727"/>
      <c r="D26" s="2742"/>
      <c r="E26" s="2739"/>
      <c r="F26" s="2742"/>
      <c r="G26" s="2739"/>
      <c r="H26" s="2742"/>
      <c r="I26" s="2739"/>
      <c r="J26" s="2954"/>
      <c r="K26" s="2742"/>
      <c r="L26" s="2711"/>
      <c r="M26" s="2711"/>
      <c r="N26" s="2711"/>
      <c r="O26" s="2711"/>
      <c r="P26" s="2711"/>
      <c r="Q26" s="2747"/>
      <c r="R26" s="2747"/>
      <c r="S26" s="2747"/>
      <c r="T26" s="2747"/>
      <c r="U26" s="2747"/>
    </row>
    <row r="27" spans="1:21" ht="15.75">
      <c r="A27" s="2726"/>
      <c r="B27" s="2732" t="s">
        <v>47</v>
      </c>
      <c r="C27" s="2727"/>
      <c r="D27" s="2738"/>
      <c r="E27" s="2739"/>
      <c r="F27" s="2739"/>
      <c r="G27" s="2738"/>
      <c r="H27" s="2739"/>
      <c r="I27" s="2739"/>
      <c r="J27" s="2954"/>
      <c r="K27" s="2739"/>
      <c r="L27" s="2711"/>
      <c r="M27" s="2711"/>
      <c r="N27" s="2711"/>
      <c r="O27" s="2711"/>
      <c r="P27" s="2711"/>
      <c r="Q27" s="2747"/>
      <c r="R27" s="2747"/>
      <c r="S27" s="2747"/>
      <c r="T27" s="2747"/>
      <c r="U27" s="2747"/>
    </row>
    <row r="28" spans="1:21" ht="15.75">
      <c r="A28" s="2726"/>
      <c r="B28" s="2732" t="s">
        <v>1209</v>
      </c>
      <c r="C28" s="2727"/>
      <c r="D28" s="2738"/>
      <c r="E28" s="2739"/>
      <c r="F28" s="2739"/>
      <c r="G28" s="2738"/>
      <c r="H28" s="2739"/>
      <c r="I28" s="2739"/>
      <c r="J28" s="2954"/>
      <c r="K28" s="2739"/>
      <c r="L28" s="2711"/>
      <c r="M28" s="2711"/>
      <c r="N28" s="2711"/>
      <c r="O28" s="2711"/>
      <c r="P28" s="2711"/>
      <c r="Q28" s="2747"/>
      <c r="R28" s="2747"/>
      <c r="S28" s="2747"/>
      <c r="T28" s="2747"/>
      <c r="U28" s="2747"/>
    </row>
    <row r="29" spans="1:21">
      <c r="A29" s="2726"/>
      <c r="B29" s="2737" t="s">
        <v>813</v>
      </c>
      <c r="C29" s="2727"/>
      <c r="D29" s="2738">
        <v>0</v>
      </c>
      <c r="E29" s="2739"/>
      <c r="F29" s="2739">
        <v>0</v>
      </c>
      <c r="G29" s="2738"/>
      <c r="H29" s="2739">
        <v>0</v>
      </c>
      <c r="I29" s="2739"/>
      <c r="J29" s="2954"/>
      <c r="K29" s="2739">
        <f>ROUND(SUM(D29:F29),2)</f>
        <v>0</v>
      </c>
      <c r="L29" s="2711"/>
      <c r="M29" s="2711"/>
      <c r="N29" s="2711"/>
      <c r="O29" s="2711"/>
      <c r="P29" s="2711"/>
      <c r="Q29" s="2747"/>
      <c r="R29" s="2747"/>
      <c r="S29" s="2747"/>
      <c r="T29" s="2747"/>
      <c r="U29" s="2747"/>
    </row>
    <row r="30" spans="1:21">
      <c r="A30" s="2726"/>
      <c r="B30" s="2737" t="s">
        <v>801</v>
      </c>
      <c r="C30" s="2727"/>
      <c r="D30" s="2738">
        <v>0</v>
      </c>
      <c r="E30" s="2739"/>
      <c r="F30" s="2739">
        <v>0</v>
      </c>
      <c r="G30" s="2738"/>
      <c r="H30" s="2739">
        <v>0</v>
      </c>
      <c r="I30" s="2739"/>
      <c r="J30" s="2954"/>
      <c r="K30" s="2739">
        <f>ROUND(SUM(D30:F30),2)</f>
        <v>0</v>
      </c>
      <c r="L30" s="2711"/>
      <c r="M30" s="2711"/>
      <c r="N30" s="2711"/>
      <c r="O30" s="2711"/>
      <c r="P30" s="2711"/>
      <c r="Q30" s="2747"/>
      <c r="R30" s="2747"/>
      <c r="S30" s="2747"/>
      <c r="T30" s="2747"/>
      <c r="U30" s="2747"/>
    </row>
    <row r="31" spans="1:21" ht="15.75">
      <c r="A31" s="2726"/>
      <c r="B31" s="2732" t="s">
        <v>798</v>
      </c>
      <c r="C31" s="2727"/>
      <c r="D31" s="2738"/>
      <c r="E31" s="2739"/>
      <c r="F31" s="2739"/>
      <c r="G31" s="2738"/>
      <c r="H31" s="2739"/>
      <c r="I31" s="2739"/>
      <c r="J31" s="2954"/>
      <c r="K31" s="2739"/>
      <c r="L31" s="2711"/>
      <c r="M31" s="2711"/>
      <c r="N31" s="2711"/>
      <c r="O31" s="2711"/>
      <c r="P31" s="2711"/>
      <c r="Q31" s="2747"/>
      <c r="R31" s="2747"/>
      <c r="S31" s="2747"/>
      <c r="T31" s="2747"/>
      <c r="U31" s="2747"/>
    </row>
    <row r="32" spans="1:21">
      <c r="A32" s="2726"/>
      <c r="B32" s="2737" t="s">
        <v>814</v>
      </c>
      <c r="C32" s="2727"/>
      <c r="D32" s="2748">
        <v>96285427.040000007</v>
      </c>
      <c r="E32" s="2739"/>
      <c r="F32" s="2739">
        <v>109362940.82000001</v>
      </c>
      <c r="G32" s="2748"/>
      <c r="H32" s="2739">
        <v>35368543.759999998</v>
      </c>
      <c r="I32" s="2739"/>
      <c r="J32" s="2954"/>
      <c r="K32" s="2739">
        <f>ROUND(SUM(D32:I32),2)</f>
        <v>241016911.62</v>
      </c>
      <c r="L32" s="2711"/>
      <c r="M32" s="2711"/>
      <c r="N32" s="2711"/>
      <c r="O32" s="2711"/>
      <c r="P32" s="2711"/>
      <c r="Q32" s="2747"/>
      <c r="R32" s="2747"/>
      <c r="S32" s="2747"/>
      <c r="T32" s="2747"/>
      <c r="U32" s="2747"/>
    </row>
    <row r="33" spans="1:21">
      <c r="A33" s="2726"/>
      <c r="B33" s="2737" t="s">
        <v>815</v>
      </c>
      <c r="C33" s="2727"/>
      <c r="D33" s="2748">
        <v>-1779603.96</v>
      </c>
      <c r="E33" s="2739"/>
      <c r="F33" s="2739">
        <v>10004727.59</v>
      </c>
      <c r="G33" s="2748"/>
      <c r="H33" s="2739">
        <v>-6248499.2699999996</v>
      </c>
      <c r="I33" s="2739"/>
      <c r="J33" s="2954"/>
      <c r="K33" s="2739">
        <f>ROUND(SUM(D33:I33),2)</f>
        <v>1976624.36</v>
      </c>
      <c r="L33" s="2711"/>
      <c r="M33" s="2711"/>
      <c r="N33" s="2711"/>
      <c r="O33" s="2711"/>
      <c r="P33" s="2711"/>
      <c r="Q33" s="2747"/>
      <c r="R33" s="2747"/>
      <c r="S33" s="2747"/>
      <c r="T33" s="2747"/>
      <c r="U33" s="2747"/>
    </row>
    <row r="34" spans="1:21">
      <c r="A34" s="2726"/>
      <c r="B34" s="2737" t="s">
        <v>816</v>
      </c>
      <c r="C34" s="2727"/>
      <c r="D34" s="2748">
        <v>-631312.19999999995</v>
      </c>
      <c r="E34" s="2739"/>
      <c r="F34" s="2739">
        <v>-294681.73</v>
      </c>
      <c r="G34" s="2748"/>
      <c r="H34" s="2739">
        <v>-98080.8</v>
      </c>
      <c r="I34" s="2739"/>
      <c r="J34" s="2954"/>
      <c r="K34" s="2739">
        <f>ROUND(SUM(D34:I34),2)</f>
        <v>-1024074.73</v>
      </c>
      <c r="L34" s="2711"/>
      <c r="M34" s="2711"/>
      <c r="N34" s="2711"/>
      <c r="O34" s="2711"/>
      <c r="P34" s="2711"/>
      <c r="Q34" s="2747"/>
      <c r="R34" s="2747"/>
      <c r="S34" s="2747"/>
      <c r="T34" s="2747"/>
      <c r="U34" s="2747"/>
    </row>
    <row r="35" spans="1:21">
      <c r="A35" s="2726"/>
      <c r="B35" s="2737" t="s">
        <v>817</v>
      </c>
      <c r="C35" s="2727"/>
      <c r="D35" s="2748">
        <v>96285427.030000001</v>
      </c>
      <c r="E35" s="2739"/>
      <c r="F35" s="2739">
        <v>109362940.81</v>
      </c>
      <c r="G35" s="2748"/>
      <c r="H35" s="2739">
        <v>35368543.759999998</v>
      </c>
      <c r="I35" s="2739"/>
      <c r="J35" s="2954"/>
      <c r="K35" s="2739">
        <f>ROUND(SUM(D35:I35),2)</f>
        <v>241016911.59999999</v>
      </c>
      <c r="L35" s="2711"/>
      <c r="M35" s="2711"/>
      <c r="N35" s="2711"/>
      <c r="O35" s="2711"/>
      <c r="P35" s="2711"/>
      <c r="Q35" s="2747"/>
      <c r="R35" s="2747"/>
      <c r="S35" s="2747"/>
      <c r="T35" s="2747"/>
      <c r="U35" s="2747"/>
    </row>
    <row r="36" spans="1:21">
      <c r="A36" s="2726"/>
      <c r="B36" s="2737" t="s">
        <v>812</v>
      </c>
      <c r="C36" s="2727"/>
      <c r="D36" s="2749">
        <v>84497</v>
      </c>
      <c r="E36" s="2739"/>
      <c r="F36" s="2739">
        <v>0</v>
      </c>
      <c r="G36" s="2748"/>
      <c r="H36" s="2755">
        <v>0</v>
      </c>
      <c r="I36" s="2739"/>
      <c r="J36" s="2954"/>
      <c r="K36" s="2739">
        <f>ROUND(SUM(D36:I36),2)</f>
        <v>84497</v>
      </c>
      <c r="L36" s="2711"/>
      <c r="M36" s="2711"/>
      <c r="N36" s="2711"/>
      <c r="O36" s="2711"/>
      <c r="P36" s="2711"/>
      <c r="Q36" s="2747"/>
      <c r="R36" s="2747"/>
      <c r="S36" s="2747"/>
      <c r="T36" s="2747"/>
      <c r="U36" s="2747"/>
    </row>
    <row r="37" spans="1:21" s="2725" customFormat="1" ht="15.75">
      <c r="A37" s="2732"/>
      <c r="B37" s="2732" t="s">
        <v>800</v>
      </c>
      <c r="C37" s="2721"/>
      <c r="D37" s="2750">
        <f>ROUND(SUM(D29:D36),2)</f>
        <v>190244434.91</v>
      </c>
      <c r="E37" s="2741"/>
      <c r="F37" s="2750">
        <f>ROUND(SUM(F29:F36),2)</f>
        <v>228435927.49000001</v>
      </c>
      <c r="G37" s="2741"/>
      <c r="H37" s="2750">
        <f>ROUND(SUM(H29:H36),2)</f>
        <v>64390507.450000003</v>
      </c>
      <c r="I37" s="2741"/>
      <c r="J37" s="2955"/>
      <c r="K37" s="2750">
        <f>ROUND(SUM(K29:K36),2)</f>
        <v>483070869.85000002</v>
      </c>
      <c r="L37" s="2751"/>
      <c r="M37" s="2751"/>
      <c r="N37" s="2751"/>
      <c r="O37" s="2751"/>
      <c r="P37" s="2751"/>
      <c r="Q37" s="2752"/>
      <c r="R37" s="2752"/>
      <c r="S37" s="2752"/>
      <c r="T37" s="2752"/>
      <c r="U37" s="2752"/>
    </row>
    <row r="38" spans="1:21">
      <c r="A38" s="2726"/>
      <c r="B38" s="2726"/>
      <c r="C38" s="2727"/>
      <c r="D38" s="2738"/>
      <c r="E38" s="2739"/>
      <c r="F38" s="2739"/>
      <c r="G38" s="2738"/>
      <c r="H38" s="2739"/>
      <c r="I38" s="2738"/>
      <c r="J38" s="2954"/>
      <c r="K38" s="2739"/>
      <c r="L38" s="2711"/>
      <c r="M38" s="2711"/>
      <c r="N38" s="2711"/>
      <c r="O38" s="2711"/>
      <c r="P38" s="2711"/>
      <c r="Q38" s="2747"/>
      <c r="R38" s="2747"/>
      <c r="S38" s="2747"/>
      <c r="T38" s="2747"/>
      <c r="U38" s="2747"/>
    </row>
    <row r="39" spans="1:21" ht="15.75">
      <c r="A39" s="2726"/>
      <c r="B39" s="2732" t="s">
        <v>1271</v>
      </c>
      <c r="C39" s="2727"/>
      <c r="D39" s="2738"/>
      <c r="E39" s="2739"/>
      <c r="F39" s="2739"/>
      <c r="G39" s="2738"/>
      <c r="H39" s="2739"/>
      <c r="I39" s="2738"/>
      <c r="J39" s="2954"/>
      <c r="K39" s="2739"/>
      <c r="L39" s="2711"/>
      <c r="M39" s="2711"/>
      <c r="N39" s="2711"/>
      <c r="O39" s="2711"/>
      <c r="P39" s="2711"/>
      <c r="Q39" s="2747"/>
      <c r="R39" s="2747"/>
      <c r="S39" s="2747"/>
      <c r="T39" s="2747"/>
      <c r="U39" s="2747"/>
    </row>
    <row r="40" spans="1:21">
      <c r="A40" s="2726"/>
      <c r="B40" s="2726" t="s">
        <v>813</v>
      </c>
      <c r="C40" s="2727"/>
      <c r="D40" s="2753">
        <v>-84497</v>
      </c>
      <c r="E40" s="2739"/>
      <c r="F40" s="2739">
        <v>0</v>
      </c>
      <c r="G40" s="2748"/>
      <c r="H40" s="2754">
        <v>0</v>
      </c>
      <c r="I40" s="2739"/>
      <c r="J40" s="2954"/>
      <c r="K40" s="2739">
        <f>ROUND(SUM(D40:I40),2)</f>
        <v>-84497</v>
      </c>
      <c r="L40" s="2711"/>
      <c r="M40" s="2711"/>
      <c r="N40" s="2711"/>
      <c r="O40" s="2711"/>
      <c r="P40" s="2711"/>
      <c r="Q40" s="2747"/>
      <c r="R40" s="2747"/>
      <c r="S40" s="2747"/>
      <c r="T40" s="2747"/>
      <c r="U40" s="2747"/>
    </row>
    <row r="41" spans="1:21">
      <c r="A41" s="2726"/>
      <c r="B41" s="2726" t="s">
        <v>801</v>
      </c>
      <c r="C41" s="2727"/>
      <c r="D41" s="2739">
        <v>0</v>
      </c>
      <c r="E41" s="2739"/>
      <c r="F41" s="2739">
        <v>-389977</v>
      </c>
      <c r="G41" s="2739"/>
      <c r="H41" s="2739">
        <v>0</v>
      </c>
      <c r="I41" s="2739"/>
      <c r="J41" s="2954"/>
      <c r="K41" s="2739">
        <f>ROUND(SUM(D41:I41),2)</f>
        <v>-389977</v>
      </c>
      <c r="L41" s="2711"/>
      <c r="M41" s="2711"/>
      <c r="N41" s="2711"/>
      <c r="O41" s="2711"/>
      <c r="P41" s="2711"/>
      <c r="Q41" s="2747"/>
      <c r="R41" s="2747"/>
      <c r="S41" s="2747"/>
      <c r="T41" s="2747"/>
      <c r="U41" s="2747"/>
    </row>
    <row r="42" spans="1:21" ht="15.75">
      <c r="A42" s="2726"/>
      <c r="B42" s="2732" t="s">
        <v>1272</v>
      </c>
      <c r="C42" s="2727"/>
      <c r="D42" s="2738"/>
      <c r="E42" s="2739"/>
      <c r="F42" s="2739"/>
      <c r="G42" s="2738"/>
      <c r="H42" s="2739"/>
      <c r="I42" s="2739"/>
      <c r="J42" s="2954"/>
      <c r="K42" s="2754"/>
      <c r="L42" s="2711"/>
      <c r="M42" s="2711"/>
      <c r="N42" s="2711"/>
      <c r="O42" s="2711"/>
      <c r="P42" s="2711"/>
      <c r="Q42" s="2747"/>
      <c r="R42" s="2747"/>
      <c r="S42" s="2747"/>
      <c r="T42" s="2747"/>
      <c r="U42" s="2747"/>
    </row>
    <row r="43" spans="1:21">
      <c r="A43" s="2726"/>
      <c r="B43" s="2737" t="s">
        <v>818</v>
      </c>
      <c r="C43" s="2727"/>
      <c r="D43" s="2755">
        <v>-863.65</v>
      </c>
      <c r="E43" s="2739"/>
      <c r="F43" s="2739">
        <v>-1847.46</v>
      </c>
      <c r="G43" s="2739"/>
      <c r="H43" s="2755">
        <v>-2486.0100000000002</v>
      </c>
      <c r="I43" s="2739"/>
      <c r="J43" s="2954"/>
      <c r="K43" s="2739">
        <f>ROUND(SUM(D43:I43),2)</f>
        <v>-5197.12</v>
      </c>
      <c r="L43" s="2711"/>
      <c r="M43" s="2711"/>
      <c r="N43" s="2711"/>
      <c r="O43" s="2711"/>
      <c r="P43" s="2711"/>
      <c r="Q43" s="2747"/>
      <c r="R43" s="2747"/>
      <c r="S43" s="2747"/>
      <c r="T43" s="2747"/>
      <c r="U43" s="2747"/>
    </row>
    <row r="44" spans="1:21" s="2725" customFormat="1" ht="15.75">
      <c r="A44" s="2732"/>
      <c r="B44" s="2732" t="s">
        <v>804</v>
      </c>
      <c r="C44" s="2721"/>
      <c r="D44" s="2750">
        <f>ROUND(SUM(D40:D43),2)</f>
        <v>-85360.65</v>
      </c>
      <c r="E44" s="2741"/>
      <c r="F44" s="2750">
        <f>ROUND(SUM(F40:F43),2)</f>
        <v>-391824.46</v>
      </c>
      <c r="G44" s="2741"/>
      <c r="H44" s="2750">
        <f>ROUND(SUM(H40:H43),2)</f>
        <v>-2486.0100000000002</v>
      </c>
      <c r="I44" s="2741"/>
      <c r="J44" s="2955"/>
      <c r="K44" s="2750">
        <f>ROUND(SUM(K40:K43),2)</f>
        <v>-479671.12</v>
      </c>
      <c r="L44" s="2751"/>
      <c r="M44" s="2751"/>
      <c r="N44" s="2751"/>
      <c r="O44" s="2751"/>
      <c r="P44" s="2751"/>
      <c r="Q44" s="2752"/>
      <c r="R44" s="2752"/>
      <c r="S44" s="2752"/>
      <c r="T44" s="2752"/>
      <c r="U44" s="2752"/>
    </row>
    <row r="45" spans="1:21">
      <c r="A45" s="2726"/>
      <c r="B45" s="2726"/>
      <c r="C45" s="2727"/>
      <c r="D45" s="2738"/>
      <c r="E45" s="2739"/>
      <c r="F45" s="2739"/>
      <c r="G45" s="2738"/>
      <c r="H45" s="2739"/>
      <c r="I45" s="2738"/>
      <c r="J45" s="2954"/>
      <c r="K45" s="2739"/>
      <c r="L45" s="2711"/>
      <c r="M45" s="2711"/>
      <c r="N45" s="2711"/>
      <c r="O45" s="2711"/>
      <c r="P45" s="2711"/>
      <c r="Q45" s="2747"/>
      <c r="R45" s="2747"/>
      <c r="S45" s="2747"/>
      <c r="T45" s="2747"/>
      <c r="U45" s="2747"/>
    </row>
    <row r="46" spans="1:21" ht="15.75">
      <c r="A46" s="2726"/>
      <c r="B46" s="2732" t="s">
        <v>819</v>
      </c>
      <c r="C46" s="2727"/>
      <c r="D46" s="2738"/>
      <c r="E46" s="2739"/>
      <c r="F46" s="2739"/>
      <c r="G46" s="2738"/>
      <c r="H46" s="2739"/>
      <c r="I46" s="2738"/>
      <c r="J46" s="2954"/>
      <c r="K46" s="2739"/>
      <c r="L46" s="2711"/>
      <c r="M46" s="2711"/>
      <c r="N46" s="2711"/>
      <c r="O46" s="2711"/>
      <c r="P46" s="2711"/>
      <c r="Q46" s="2747"/>
      <c r="R46" s="2747"/>
      <c r="S46" s="2747"/>
      <c r="T46" s="2747"/>
      <c r="U46" s="2747"/>
    </row>
    <row r="47" spans="1:21" ht="15.75">
      <c r="A47" s="2726"/>
      <c r="B47" s="2732" t="s">
        <v>820</v>
      </c>
      <c r="C47" s="2727"/>
      <c r="D47" s="2756">
        <f>ROUND(+D25+D37+D44,2)</f>
        <v>985.98</v>
      </c>
      <c r="E47" s="2746"/>
      <c r="F47" s="2756">
        <f>ROUND(+F25+F37+F44,2)</f>
        <v>978.12</v>
      </c>
      <c r="G47" s="2746"/>
      <c r="H47" s="2756">
        <f>ROUND(+H25+H37+H44,2)</f>
        <v>-2127.96</v>
      </c>
      <c r="I47" s="2746"/>
      <c r="J47" s="2956"/>
      <c r="K47" s="2756">
        <f>ROUND(+K25+K37+K44,2)</f>
        <v>-163.86</v>
      </c>
      <c r="L47" s="2711"/>
      <c r="M47" s="2711"/>
      <c r="N47" s="2711"/>
      <c r="O47" s="2711"/>
      <c r="P47" s="2711"/>
      <c r="Q47" s="2747"/>
      <c r="R47" s="2747"/>
      <c r="S47" s="2747"/>
      <c r="T47" s="2747"/>
      <c r="U47" s="2747"/>
    </row>
    <row r="48" spans="1:21">
      <c r="A48" s="2726"/>
      <c r="B48" s="2726"/>
      <c r="C48" s="2727"/>
      <c r="D48" s="2727"/>
      <c r="E48" s="2730"/>
      <c r="F48" s="2730"/>
      <c r="G48" s="2727"/>
      <c r="H48" s="2730"/>
      <c r="I48" s="2730"/>
      <c r="J48" s="2953"/>
      <c r="K48" s="2757"/>
      <c r="L48" s="2711"/>
      <c r="M48" s="2711"/>
      <c r="N48" s="2711"/>
      <c r="O48" s="2711"/>
      <c r="P48" s="2711"/>
      <c r="Q48" s="2747"/>
      <c r="R48" s="2747"/>
      <c r="S48" s="2747"/>
      <c r="T48" s="2747"/>
      <c r="U48" s="2747"/>
    </row>
    <row r="49" spans="1:46" s="2725" customFormat="1" ht="16.5" thickBot="1">
      <c r="A49" s="2732"/>
      <c r="B49" s="2732" t="s">
        <v>807</v>
      </c>
      <c r="C49" s="2758"/>
      <c r="D49" s="2759">
        <f>ROUND(D13+D47,2)</f>
        <v>1507.89</v>
      </c>
      <c r="E49" s="2760"/>
      <c r="F49" s="2759">
        <f>ROUND(F13+F47,2)</f>
        <v>2486.0100000000002</v>
      </c>
      <c r="G49" s="2760"/>
      <c r="H49" s="2759">
        <f>ROUND(H13+H47,2)</f>
        <v>358.05</v>
      </c>
      <c r="I49" s="2760"/>
      <c r="J49" s="2957"/>
      <c r="K49" s="2759">
        <f>ROUND(K13+K47,2)</f>
        <v>358.05</v>
      </c>
      <c r="L49" s="2724"/>
      <c r="M49" s="2724"/>
      <c r="N49" s="2724"/>
      <c r="O49" s="2724"/>
      <c r="P49" s="2724"/>
      <c r="Q49" s="2761"/>
      <c r="R49" s="2761"/>
      <c r="S49" s="2761"/>
      <c r="T49" s="2761"/>
      <c r="U49" s="2761"/>
      <c r="V49" s="2761"/>
      <c r="W49" s="2761"/>
      <c r="X49" s="2761"/>
      <c r="Y49" s="2761"/>
      <c r="Z49" s="2761"/>
      <c r="AA49" s="2761"/>
      <c r="AB49" s="2761"/>
      <c r="AC49" s="2761"/>
      <c r="AD49" s="2761"/>
      <c r="AE49" s="2761"/>
      <c r="AF49" s="2761"/>
      <c r="AG49" s="2761"/>
      <c r="AH49" s="2761"/>
      <c r="AI49" s="2761"/>
      <c r="AJ49" s="2761"/>
      <c r="AK49" s="2761"/>
      <c r="AL49" s="2761"/>
      <c r="AM49" s="2761"/>
      <c r="AN49" s="2761"/>
      <c r="AO49" s="2761"/>
      <c r="AP49" s="2761"/>
      <c r="AQ49" s="2761"/>
      <c r="AR49" s="2761"/>
      <c r="AS49" s="2761"/>
      <c r="AT49" s="2761"/>
    </row>
    <row r="50" spans="1:46" ht="15.75" thickTop="1">
      <c r="A50" s="2726"/>
      <c r="B50" s="2726" t="s">
        <v>16</v>
      </c>
      <c r="C50" s="2727"/>
      <c r="D50" s="2727"/>
      <c r="E50" s="2727"/>
      <c r="F50" s="2727"/>
      <c r="G50" s="2727"/>
      <c r="H50" s="2727"/>
      <c r="I50" s="2730"/>
      <c r="J50" s="2730"/>
      <c r="K50" s="2727"/>
    </row>
    <row r="51" spans="1:46">
      <c r="B51" s="2762" t="s">
        <v>808</v>
      </c>
    </row>
    <row r="52" spans="1:46">
      <c r="B52" s="2763"/>
    </row>
    <row r="60" spans="1:46" ht="15.75">
      <c r="B60" s="2764"/>
      <c r="C60" s="2765"/>
      <c r="D60" s="2765"/>
      <c r="F60" s="3332"/>
      <c r="G60" s="3216"/>
    </row>
    <row r="62" spans="1:46" ht="15.75">
      <c r="B62" s="2766"/>
      <c r="C62" s="2724"/>
    </row>
  </sheetData>
  <customSheetViews>
    <customSheetView guid="{BD09DBC2-63A5-4D9C-9B00-4281066E9389}" showPageBreaks="1" showGridLines="0" fitToPage="1" printArea="1" topLeftCell="A7">
      <selection activeCell="D17" sqref="D17"/>
      <pageMargins left="0.24" right="0.24" top="0.5" bottom="0.5" header="0.18" footer="0.25"/>
      <printOptions horizontalCentered="1" verticalCentered="1"/>
      <pageSetup scale="67" firstPageNumber="53" orientation="landscape" useFirstPageNumber="1" r:id="rId1"/>
      <headerFooter scaleWithDoc="0" alignWithMargins="0">
        <oddFooter>&amp;C&amp;8&amp;P</oddFooter>
      </headerFooter>
    </customSheetView>
    <customSheetView guid="{C82E0A7D-2B5B-48FC-A705-3168E651E04C}" showPageBreaks="1" showGridLines="0" fitToPage="1" printArea="1">
      <selection activeCell="I5" sqref="I5"/>
      <pageMargins left="0.24" right="0.24" top="0.5" bottom="0.5" header="0.18" footer="0.25"/>
      <printOptions horizontalCentered="1" verticalCentered="1"/>
      <pageSetup scale="67" orientation="landscape" r:id="rId2"/>
      <headerFooter scaleWithDoc="0" alignWithMargins="0">
        <oddFooter>&amp;C&amp;8 53</oddFooter>
      </headerFooter>
    </customSheetView>
    <customSheetView guid="{A8B05C3B-0E7E-44A3-A097-AF4C5C09F04E}" showPageBreaks="1" showGridLines="0" fitToPage="1" printArea="1">
      <selection activeCell="I5" sqref="I5"/>
      <pageMargins left="0.24" right="0.24" top="0.5" bottom="0.5" header="0.18" footer="0.25"/>
      <printOptions horizontalCentered="1" verticalCentered="1"/>
      <pageSetup scale="67" orientation="landscape" r:id="rId3"/>
      <headerFooter scaleWithDoc="0" alignWithMargins="0">
        <oddFooter>&amp;C&amp;8 53</oddFooter>
      </headerFooter>
    </customSheetView>
    <customSheetView guid="{8EE6466D-211E-4E05-9F84-CC0A1C6F79F4}" showGridLines="0" fitToPage="1">
      <selection activeCell="I5" sqref="I5"/>
      <pageMargins left="0.24" right="0.24" top="0.5" bottom="0.5" header="0.18" footer="0.25"/>
      <printOptions horizontalCentered="1" verticalCentered="1"/>
      <pageSetup scale="67" orientation="landscape" r:id="rId4"/>
      <headerFooter scaleWithDoc="0" alignWithMargins="0">
        <oddFooter>&amp;C&amp;8 53</oddFooter>
      </headerFooter>
    </customSheetView>
    <customSheetView guid="{4735AAE3-27B4-4549-AAB4-50ACA997F5F5}" showPageBreaks="1" showGridLines="0" fitToPage="1" printArea="1">
      <selection activeCell="I5" sqref="I5"/>
      <pageMargins left="0.24" right="0.24" top="0.5" bottom="0.5" header="0.18" footer="0.25"/>
      <printOptions horizontalCentered="1" verticalCentered="1"/>
      <pageSetup scale="57" orientation="landscape" r:id="rId5"/>
      <headerFooter scaleWithDoc="0" alignWithMargins="0">
        <oddFooter>&amp;C&amp;8 53</oddFooter>
      </headerFooter>
    </customSheetView>
    <customSheetView guid="{80622567-647A-4891-B8EE-6B9E2C4DAC44}" showPageBreaks="1" showGridLines="0" fitToPage="1" printArea="1" topLeftCell="C4">
      <selection activeCell="F33" sqref="F33"/>
      <pageMargins left="0.24" right="0.24" top="0.5" bottom="0.5" header="0.18" footer="0.25"/>
      <printOptions horizontalCentered="1" verticalCentered="1"/>
      <pageSetup scale="67" orientation="landscape" r:id="rId6"/>
      <headerFooter scaleWithDoc="0" alignWithMargins="0">
        <oddFooter>&amp;C&amp;8 53</oddFooter>
      </headerFooter>
    </customSheetView>
    <customSheetView guid="{A97EE6C3-4DA8-41BD-BE43-F596EFCB43CA}" showPageBreaks="1" showGridLines="0" fitToPage="1" printArea="1">
      <selection activeCell="I5" sqref="I5"/>
      <pageMargins left="0.24" right="0.24" top="0.5" bottom="0.5" header="0.18" footer="0.25"/>
      <printOptions horizontalCentered="1" verticalCentered="1"/>
      <pageSetup scale="67" orientation="landscape" r:id="rId7"/>
      <headerFooter scaleWithDoc="0" alignWithMargins="0">
        <oddFooter>&amp;C&amp;8 53</oddFooter>
      </headerFooter>
    </customSheetView>
    <customSheetView guid="{90B76C5A-2FC4-40F0-8436-3E4F075A4887}" scale="80" showPageBreaks="1" showGridLines="0" fitToPage="1" printArea="1" topLeftCell="A22">
      <selection activeCell="F33" sqref="F33"/>
      <pageMargins left="0.24" right="0.24" top="0.5" bottom="0.5" header="0.18" footer="0.25"/>
      <printOptions horizontalCentered="1" verticalCentered="1"/>
      <pageSetup scale="70" orientation="landscape" r:id="rId8"/>
      <headerFooter scaleWithDoc="0" alignWithMargins="0">
        <oddFooter>&amp;C&amp;8 53</oddFooter>
      </headerFooter>
    </customSheetView>
  </customSheetViews>
  <mergeCells count="2">
    <mergeCell ref="B7:I7"/>
    <mergeCell ref="B8:I8"/>
  </mergeCells>
  <printOptions horizontalCentered="1" verticalCentered="1"/>
  <pageMargins left="0.24" right="0.24" top="0.5" bottom="0.5" header="0.18" footer="0.25"/>
  <pageSetup scale="67" firstPageNumber="53" orientation="landscape" useFirstPageNumber="1" r:id="rId9"/>
  <headerFooter scaleWithDoc="0" alignWithMargins="0">
    <oddFooter>&amp;C&amp;8&amp;P</oddFooter>
  </headerFooter>
  <ignoredErrors>
    <ignoredError sqref="K21" formula="1" formulaRange="1"/>
  </ignoredErrors>
</worksheet>
</file>

<file path=xl/worksheets/sheet42.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68" zoomScaleNormal="70" workbookViewId="0"/>
  </sheetViews>
  <sheetFormatPr defaultColWidth="8.88671875" defaultRowHeight="12.75"/>
  <cols>
    <col min="1" max="1" width="51.88671875" style="791" customWidth="1"/>
    <col min="2" max="2" width="1.6640625" style="791" customWidth="1"/>
    <col min="3" max="3" width="10.88671875" style="791" customWidth="1"/>
    <col min="4" max="4" width="1.6640625" style="791" customWidth="1"/>
    <col min="5" max="5" width="10.88671875" style="791" customWidth="1"/>
    <col min="6" max="6" width="1.6640625" style="791" customWidth="1"/>
    <col min="7" max="7" width="10.88671875" style="791" customWidth="1"/>
    <col min="8" max="8" width="1.6640625" style="791" customWidth="1"/>
    <col min="9" max="9" width="10.88671875" style="791" customWidth="1"/>
    <col min="10" max="10" width="1.6640625" style="791" customWidth="1"/>
    <col min="11" max="11" width="10.88671875" style="791" customWidth="1"/>
    <col min="12" max="12" width="1.6640625" style="791" customWidth="1"/>
    <col min="13" max="13" width="14.88671875" style="791" bestFit="1" customWidth="1"/>
    <col min="14" max="14" width="1.6640625" style="791" customWidth="1"/>
    <col min="15" max="15" width="10.88671875" style="791" customWidth="1"/>
    <col min="16" max="16" width="1.6640625" style="791" customWidth="1"/>
    <col min="17" max="17" width="13.5546875" style="791" bestFit="1" customWidth="1"/>
    <col min="18" max="18" width="1.6640625" style="791" customWidth="1"/>
    <col min="19" max="19" width="13.5546875" style="791" bestFit="1" customWidth="1"/>
    <col min="20" max="20" width="1.6640625" style="791" customWidth="1"/>
    <col min="21" max="21" width="11" style="791" customWidth="1"/>
    <col min="22" max="22" width="1.6640625" style="791" customWidth="1"/>
    <col min="23" max="23" width="10.88671875" style="791" customWidth="1"/>
    <col min="24" max="24" width="1.6640625" style="791" customWidth="1"/>
    <col min="25" max="25" width="10.88671875" style="791" customWidth="1"/>
    <col min="26" max="26" width="1.6640625" style="791" customWidth="1"/>
    <col min="27" max="27" width="14.21875" style="798" customWidth="1"/>
    <col min="28" max="28" width="3.6640625" style="791" customWidth="1"/>
    <col min="29" max="29" width="5.6640625" style="791" customWidth="1"/>
    <col min="30" max="30" width="10.33203125" style="791" customWidth="1"/>
    <col min="31" max="31" width="2.6640625" style="791" customWidth="1"/>
    <col min="32" max="16384" width="8.88671875" style="791"/>
  </cols>
  <sheetData>
    <row r="1" spans="1:29" ht="15">
      <c r="A1" s="1227" t="s">
        <v>1322</v>
      </c>
    </row>
    <row r="2" spans="1:29" ht="20.25">
      <c r="A2" s="788"/>
      <c r="B2" s="2700"/>
      <c r="C2" s="2700"/>
      <c r="D2" s="2700"/>
      <c r="E2" s="2700"/>
      <c r="F2" s="2700"/>
      <c r="G2" s="2700"/>
      <c r="H2" s="2700"/>
      <c r="I2" s="2700"/>
      <c r="J2" s="2700"/>
      <c r="K2" s="2700"/>
      <c r="L2" s="789"/>
      <c r="M2" s="789"/>
      <c r="N2" s="2700"/>
      <c r="O2" s="2700"/>
      <c r="P2" s="2700"/>
      <c r="Q2" s="2700"/>
      <c r="R2" s="2700"/>
      <c r="S2" s="2700"/>
      <c r="T2" s="2700"/>
      <c r="U2" s="2700"/>
      <c r="V2" s="2700"/>
      <c r="W2" s="2700"/>
      <c r="X2" s="2700"/>
      <c r="Y2" s="2700"/>
      <c r="Z2" s="2700"/>
      <c r="AA2" s="2701"/>
      <c r="AB2" s="2700"/>
      <c r="AC2" s="790"/>
    </row>
    <row r="3" spans="1:29" ht="15">
      <c r="A3"/>
      <c r="B3" s="1238"/>
      <c r="C3" s="1238"/>
      <c r="D3" s="1238"/>
      <c r="E3" s="1238"/>
      <c r="F3" s="1238"/>
      <c r="G3" s="1238"/>
      <c r="H3" s="1238"/>
      <c r="I3" s="1238"/>
      <c r="J3" s="1238"/>
      <c r="K3" s="1238"/>
      <c r="L3"/>
      <c r="M3" s="1238"/>
      <c r="N3" s="1238"/>
      <c r="O3" s="1238"/>
      <c r="P3" s="1238"/>
      <c r="Q3" s="1238"/>
      <c r="R3" s="1238"/>
      <c r="S3" s="1238"/>
      <c r="T3" s="1238"/>
      <c r="U3" s="1238"/>
      <c r="V3" s="1238"/>
      <c r="W3" s="1238"/>
      <c r="X3" s="1238"/>
      <c r="Y3" s="1238"/>
      <c r="Z3" s="1238"/>
      <c r="AA3" s="791"/>
      <c r="AB3" s="2700"/>
      <c r="AC3" s="790"/>
    </row>
    <row r="4" spans="1:29" ht="20.25">
      <c r="A4" s="1246" t="s">
        <v>0</v>
      </c>
      <c r="B4" s="1238"/>
      <c r="C4" s="1238"/>
      <c r="D4" s="1238"/>
      <c r="E4" s="1238"/>
      <c r="F4" s="1238"/>
      <c r="G4" s="1238"/>
      <c r="H4" s="1238"/>
      <c r="I4" s="1238"/>
      <c r="J4" s="1238"/>
      <c r="K4" s="1238"/>
      <c r="L4"/>
      <c r="M4" s="1238"/>
      <c r="N4" s="1238"/>
      <c r="O4" s="1238"/>
      <c r="P4" s="1238"/>
      <c r="Q4" s="1238"/>
      <c r="R4" s="1238"/>
      <c r="S4" s="1238"/>
      <c r="T4" s="1238"/>
      <c r="U4" s="1238"/>
      <c r="V4" s="1238"/>
      <c r="W4" s="1238"/>
      <c r="X4" s="1238"/>
      <c r="Y4" s="1238"/>
      <c r="Z4" s="1238"/>
      <c r="AA4" s="2702" t="s">
        <v>821</v>
      </c>
      <c r="AB4" s="2700"/>
      <c r="AC4" s="790"/>
    </row>
    <row r="5" spans="1:29" s="790" customFormat="1" ht="18">
      <c r="A5" s="1246" t="s">
        <v>822</v>
      </c>
      <c r="B5" s="1239"/>
      <c r="C5" s="1239"/>
      <c r="D5" s="1239"/>
      <c r="E5" s="1239"/>
      <c r="F5" s="1239"/>
      <c r="G5" s="1239"/>
      <c r="H5" s="1239"/>
      <c r="I5" s="1239"/>
      <c r="J5" s="1238"/>
      <c r="K5" s="1238"/>
      <c r="L5" s="1238"/>
      <c r="M5" s="1238"/>
      <c r="N5" s="1238"/>
      <c r="O5" s="1238"/>
      <c r="P5" s="1238"/>
      <c r="Q5" s="1238"/>
      <c r="R5" s="1238"/>
      <c r="S5" s="1238"/>
      <c r="T5" s="1238"/>
      <c r="U5" s="1238"/>
      <c r="V5" s="1238"/>
      <c r="W5" s="1238"/>
      <c r="X5" s="1238"/>
      <c r="Y5" s="1238"/>
      <c r="Z5" s="1238"/>
      <c r="AA5" s="1238"/>
      <c r="AB5" s="2700"/>
    </row>
    <row r="6" spans="1:29" s="790" customFormat="1" ht="18">
      <c r="A6" s="437" t="s">
        <v>1175</v>
      </c>
      <c r="B6" s="1239"/>
      <c r="C6" s="1239"/>
      <c r="D6" s="1239"/>
      <c r="E6" s="1239"/>
      <c r="F6" s="1239"/>
      <c r="G6" s="1239"/>
      <c r="H6" s="1239"/>
      <c r="I6" s="1239"/>
      <c r="J6" s="1238"/>
      <c r="K6" s="1238"/>
      <c r="L6" s="1238"/>
      <c r="M6" s="1238"/>
      <c r="N6" s="1238"/>
      <c r="O6" s="1238"/>
      <c r="P6" s="1238"/>
      <c r="Q6" s="1238"/>
      <c r="R6" s="1238"/>
      <c r="S6" s="1238"/>
      <c r="T6" s="1238"/>
      <c r="U6" s="1238"/>
      <c r="V6" s="1238"/>
      <c r="W6" s="1238"/>
      <c r="X6" s="1238"/>
      <c r="Y6" s="1238"/>
      <c r="Z6" s="1238"/>
      <c r="AA6" s="1238"/>
      <c r="AB6" s="2700"/>
    </row>
    <row r="7" spans="1:29" s="790" customFormat="1" ht="18">
      <c r="A7" s="1246" t="s">
        <v>1202</v>
      </c>
      <c r="B7" s="1240"/>
      <c r="C7" s="1240"/>
      <c r="D7" s="1240"/>
      <c r="E7" s="1240"/>
      <c r="F7" s="1240"/>
      <c r="G7" s="1240"/>
      <c r="H7" s="1240"/>
      <c r="I7" s="1240"/>
      <c r="J7"/>
      <c r="K7"/>
      <c r="L7"/>
      <c r="M7"/>
      <c r="N7"/>
      <c r="O7"/>
      <c r="P7"/>
      <c r="Q7"/>
      <c r="R7" s="1238"/>
      <c r="S7" s="1238"/>
      <c r="T7" s="1238"/>
      <c r="U7" s="1238"/>
      <c r="V7" s="1238"/>
      <c r="W7" s="1238"/>
      <c r="X7" s="1238"/>
      <c r="Y7" s="1238"/>
      <c r="Z7" s="1238"/>
      <c r="AA7"/>
      <c r="AB7" s="2700"/>
    </row>
    <row r="8" spans="1:29" s="790" customFormat="1" ht="15.75">
      <c r="A8" s="1241"/>
      <c r="B8" s="1240"/>
      <c r="C8" s="1667"/>
      <c r="D8" s="1667"/>
      <c r="E8" s="1667"/>
      <c r="F8" s="1667"/>
      <c r="G8" s="1667"/>
      <c r="H8" s="1667"/>
      <c r="I8" s="1667"/>
      <c r="J8" s="1308"/>
      <c r="K8" s="1308"/>
      <c r="L8" s="1308"/>
      <c r="M8" s="1308"/>
      <c r="N8" s="1308"/>
      <c r="O8" s="1308"/>
      <c r="P8" s="1308"/>
      <c r="Q8" s="1308"/>
      <c r="R8" s="1308"/>
      <c r="S8" s="1308"/>
      <c r="T8" s="1308"/>
      <c r="U8" s="1308"/>
      <c r="V8" s="1308"/>
      <c r="W8" s="1308"/>
      <c r="X8" s="1308"/>
      <c r="Y8" s="1308"/>
      <c r="Z8" s="1308"/>
      <c r="AA8" s="1308"/>
      <c r="AB8" s="2700"/>
    </row>
    <row r="9" spans="1:29" s="790" customFormat="1" ht="15.75">
      <c r="A9" s="1238"/>
      <c r="B9" s="123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2700"/>
    </row>
    <row r="10" spans="1:29" s="790" customFormat="1" ht="18">
      <c r="A10" s="1238"/>
      <c r="B10" s="1307"/>
      <c r="C10" s="1668">
        <v>2014</v>
      </c>
      <c r="D10" s="1668">
        <v>2014</v>
      </c>
      <c r="E10" s="1668">
        <v>2014</v>
      </c>
      <c r="F10" s="1668">
        <v>2014</v>
      </c>
      <c r="G10" s="1668">
        <v>2014</v>
      </c>
      <c r="H10" s="1668">
        <v>2014</v>
      </c>
      <c r="I10" s="1668">
        <v>2014</v>
      </c>
      <c r="J10" s="1668">
        <v>2014</v>
      </c>
      <c r="K10" s="1668">
        <v>2014</v>
      </c>
      <c r="L10" s="1668">
        <v>2014</v>
      </c>
      <c r="M10" s="1668">
        <v>2014</v>
      </c>
      <c r="N10" s="1668">
        <v>2014</v>
      </c>
      <c r="O10" s="1668">
        <v>2014</v>
      </c>
      <c r="P10" s="1668">
        <v>2014</v>
      </c>
      <c r="Q10" s="1668">
        <v>2014</v>
      </c>
      <c r="R10" s="1668">
        <v>2014</v>
      </c>
      <c r="S10" s="1668">
        <v>2014</v>
      </c>
      <c r="T10" s="1668"/>
      <c r="U10" s="1668">
        <v>2015</v>
      </c>
      <c r="V10" s="1668"/>
      <c r="W10" s="1668">
        <v>2015</v>
      </c>
      <c r="X10" s="1668"/>
      <c r="Y10" s="1668">
        <v>2015</v>
      </c>
      <c r="Z10" s="1246"/>
      <c r="AA10" s="1669" t="s">
        <v>1180</v>
      </c>
      <c r="AB10" s="2703"/>
    </row>
    <row r="11" spans="1:29" s="790" customFormat="1" ht="18">
      <c r="A11" s="1238"/>
      <c r="B11" s="1307"/>
      <c r="C11" s="1670" t="s">
        <v>131</v>
      </c>
      <c r="D11" s="1669"/>
      <c r="E11" s="1670" t="s">
        <v>132</v>
      </c>
      <c r="F11" s="1669"/>
      <c r="G11" s="1670" t="s">
        <v>133</v>
      </c>
      <c r="H11" s="1669"/>
      <c r="I11" s="1670" t="s">
        <v>134</v>
      </c>
      <c r="J11" s="1669"/>
      <c r="K11" s="1670" t="s">
        <v>135</v>
      </c>
      <c r="L11" s="1669"/>
      <c r="M11" s="1670" t="s">
        <v>150</v>
      </c>
      <c r="N11" s="1669"/>
      <c r="O11" s="1670" t="s">
        <v>151</v>
      </c>
      <c r="P11" s="1669"/>
      <c r="Q11" s="1670" t="s">
        <v>138</v>
      </c>
      <c r="R11" s="1669"/>
      <c r="S11" s="1670" t="s">
        <v>139</v>
      </c>
      <c r="T11" s="1669"/>
      <c r="U11" s="1670" t="s">
        <v>140</v>
      </c>
      <c r="V11" s="1669"/>
      <c r="W11" s="1670" t="s">
        <v>141</v>
      </c>
      <c r="X11" s="1669"/>
      <c r="Y11" s="1670" t="s">
        <v>196</v>
      </c>
      <c r="Z11" s="1246"/>
      <c r="AA11" s="1670" t="s">
        <v>823</v>
      </c>
      <c r="AB11" s="2700"/>
    </row>
    <row r="12" spans="1:29" s="790" customFormat="1" ht="18">
      <c r="A12"/>
      <c r="B12" s="1307"/>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2704"/>
      <c r="AC12" s="2705"/>
    </row>
    <row r="13" spans="1:29" s="793" customFormat="1" ht="18">
      <c r="A13" s="1308" t="s">
        <v>824</v>
      </c>
      <c r="B13" s="1307"/>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2704"/>
      <c r="AC13" s="792"/>
    </row>
    <row r="14" spans="1:29" s="793" customFormat="1" ht="18">
      <c r="A14" s="1238" t="s">
        <v>825</v>
      </c>
      <c r="B14" s="1307"/>
      <c r="C14" s="1751">
        <v>0</v>
      </c>
      <c r="D14" s="1751"/>
      <c r="E14" s="1751">
        <v>0</v>
      </c>
      <c r="F14" s="1751"/>
      <c r="G14" s="1752">
        <v>0</v>
      </c>
      <c r="H14" s="1751"/>
      <c r="I14" s="1752">
        <v>2</v>
      </c>
      <c r="J14" s="1753"/>
      <c r="K14" s="1752">
        <v>0</v>
      </c>
      <c r="L14" s="1751"/>
      <c r="M14" s="1752">
        <v>70</v>
      </c>
      <c r="N14" s="1753"/>
      <c r="O14" s="1752"/>
      <c r="P14" s="1753"/>
      <c r="Q14" s="1752"/>
      <c r="R14" s="1753"/>
      <c r="S14" s="1752"/>
      <c r="T14" s="1753"/>
      <c r="U14" s="1752"/>
      <c r="V14" s="1753"/>
      <c r="W14" s="1752"/>
      <c r="X14" s="1753"/>
      <c r="Y14" s="1752"/>
      <c r="Z14" s="1307"/>
      <c r="AA14" s="1765">
        <f>ROUND(SUM(C14:Z14),0)</f>
        <v>72</v>
      </c>
      <c r="AB14" s="2704"/>
      <c r="AC14" s="792"/>
    </row>
    <row r="15" spans="1:29" s="793" customFormat="1" ht="18">
      <c r="A15" s="1238" t="s">
        <v>826</v>
      </c>
      <c r="B15" s="1307"/>
      <c r="C15" s="1754">
        <v>2929</v>
      </c>
      <c r="D15" s="1755"/>
      <c r="E15" s="1755">
        <v>7022</v>
      </c>
      <c r="F15" s="1755"/>
      <c r="G15" s="1754">
        <v>13359</v>
      </c>
      <c r="H15" s="1755"/>
      <c r="I15" s="1754">
        <v>3539</v>
      </c>
      <c r="J15" s="1756"/>
      <c r="K15" s="1754">
        <v>1310</v>
      </c>
      <c r="L15" s="1755"/>
      <c r="M15" s="1754">
        <v>1005</v>
      </c>
      <c r="N15" s="1756"/>
      <c r="O15" s="1754"/>
      <c r="P15" s="1756"/>
      <c r="Q15" s="1757"/>
      <c r="R15" s="1756"/>
      <c r="S15" s="1757"/>
      <c r="T15" s="1756"/>
      <c r="U15" s="1757"/>
      <c r="V15" s="1756"/>
      <c r="W15" s="1757"/>
      <c r="X15" s="1756"/>
      <c r="Y15" s="1757"/>
      <c r="Z15" s="1307"/>
      <c r="AA15" s="1764">
        <f t="shared" ref="AA15:AA29" si="0">ROUND(SUM(C15:Z15),0)</f>
        <v>29164</v>
      </c>
      <c r="AB15" s="2704"/>
      <c r="AC15" s="792"/>
    </row>
    <row r="16" spans="1:29" s="793" customFormat="1" ht="18">
      <c r="A16" s="1238" t="s">
        <v>827</v>
      </c>
      <c r="B16" s="1307"/>
      <c r="C16" s="1754">
        <v>16</v>
      </c>
      <c r="D16" s="1755"/>
      <c r="E16" s="1755">
        <v>3</v>
      </c>
      <c r="F16" s="1755"/>
      <c r="G16" s="1754">
        <v>63</v>
      </c>
      <c r="H16" s="1755"/>
      <c r="I16" s="1754">
        <v>3</v>
      </c>
      <c r="J16" s="1756"/>
      <c r="K16" s="1754">
        <v>11</v>
      </c>
      <c r="L16" s="1755"/>
      <c r="M16" s="1754">
        <v>56</v>
      </c>
      <c r="N16" s="1756"/>
      <c r="O16" s="1754"/>
      <c r="P16" s="1756"/>
      <c r="Q16" s="1757"/>
      <c r="R16" s="1756"/>
      <c r="S16" s="1757"/>
      <c r="T16" s="1756"/>
      <c r="U16" s="1757"/>
      <c r="V16" s="1756"/>
      <c r="W16" s="1757"/>
      <c r="X16" s="1756"/>
      <c r="Y16" s="1757"/>
      <c r="Z16" s="1307"/>
      <c r="AA16" s="1764">
        <f t="shared" si="0"/>
        <v>152</v>
      </c>
      <c r="AB16" s="2706"/>
      <c r="AC16" s="792"/>
    </row>
    <row r="17" spans="1:29" s="793" customFormat="1" ht="18">
      <c r="A17" s="1238" t="s">
        <v>1375</v>
      </c>
      <c r="B17" s="1307"/>
      <c r="C17" s="1758">
        <v>19</v>
      </c>
      <c r="D17" s="1755"/>
      <c r="E17" s="1757">
        <v>0</v>
      </c>
      <c r="F17" s="1755"/>
      <c r="G17" s="1754">
        <v>0</v>
      </c>
      <c r="H17" s="1755"/>
      <c r="I17" s="1754">
        <v>38</v>
      </c>
      <c r="J17" s="1756"/>
      <c r="K17" s="1754">
        <v>273</v>
      </c>
      <c r="L17" s="1755"/>
      <c r="M17" s="1754">
        <v>205</v>
      </c>
      <c r="N17" s="1756"/>
      <c r="O17" s="1757"/>
      <c r="P17" s="1756"/>
      <c r="Q17" s="1757"/>
      <c r="R17" s="1756"/>
      <c r="S17" s="1757"/>
      <c r="T17" s="1756"/>
      <c r="U17" s="1757"/>
      <c r="V17" s="1756"/>
      <c r="W17" s="1757"/>
      <c r="X17" s="1756"/>
      <c r="Y17" s="1757"/>
      <c r="Z17" s="1307"/>
      <c r="AA17" s="1764">
        <f t="shared" si="0"/>
        <v>535</v>
      </c>
      <c r="AB17" s="2706"/>
      <c r="AC17" s="792"/>
    </row>
    <row r="18" spans="1:29" s="793" customFormat="1" ht="18">
      <c r="A18" s="1238" t="s">
        <v>828</v>
      </c>
      <c r="B18" s="1307"/>
      <c r="C18" s="1755"/>
      <c r="D18" s="1755"/>
      <c r="E18" s="1759"/>
      <c r="F18" s="1755"/>
      <c r="G18" s="1760"/>
      <c r="H18" s="1755"/>
      <c r="I18" s="1760"/>
      <c r="J18" s="1756"/>
      <c r="K18" s="1760"/>
      <c r="L18" s="1755"/>
      <c r="M18" s="1760"/>
      <c r="N18" s="1756"/>
      <c r="O18" s="1760"/>
      <c r="P18" s="1756"/>
      <c r="Q18" s="1759"/>
      <c r="R18" s="1756"/>
      <c r="S18" s="1759"/>
      <c r="T18" s="1756"/>
      <c r="U18" s="1759"/>
      <c r="V18" s="1756"/>
      <c r="W18" s="1759"/>
      <c r="X18" s="1756"/>
      <c r="Y18" s="1759"/>
      <c r="Z18" s="1307"/>
      <c r="AA18" s="1764"/>
      <c r="AB18" s="2706"/>
      <c r="AC18" s="792"/>
    </row>
    <row r="19" spans="1:29" s="793" customFormat="1" ht="18">
      <c r="A19" s="1238" t="s">
        <v>1390</v>
      </c>
      <c r="B19" s="1307"/>
      <c r="C19" s="1754">
        <v>0</v>
      </c>
      <c r="D19" s="1755"/>
      <c r="E19" s="1755">
        <v>3</v>
      </c>
      <c r="F19" s="1755"/>
      <c r="G19" s="1754">
        <v>6</v>
      </c>
      <c r="H19" s="1755"/>
      <c r="I19" s="1754">
        <v>232</v>
      </c>
      <c r="J19" s="1756"/>
      <c r="K19" s="1754">
        <v>38</v>
      </c>
      <c r="L19" s="1755"/>
      <c r="M19" s="1754">
        <v>75</v>
      </c>
      <c r="N19" s="1756"/>
      <c r="O19" s="1754"/>
      <c r="P19" s="1756"/>
      <c r="Q19" s="1757"/>
      <c r="R19" s="1756"/>
      <c r="S19" s="1757"/>
      <c r="T19" s="1756"/>
      <c r="U19" s="1757"/>
      <c r="V19" s="1756"/>
      <c r="W19" s="1757"/>
      <c r="X19" s="1756"/>
      <c r="Y19" s="1757"/>
      <c r="Z19" s="1307"/>
      <c r="AA19" s="1764">
        <f t="shared" si="0"/>
        <v>354</v>
      </c>
      <c r="AB19" s="2706"/>
      <c r="AC19" s="792"/>
    </row>
    <row r="20" spans="1:29" s="793" customFormat="1" ht="18">
      <c r="A20" s="1238" t="s">
        <v>829</v>
      </c>
      <c r="B20" s="1307"/>
      <c r="C20" s="1754">
        <v>0</v>
      </c>
      <c r="D20" s="1755"/>
      <c r="E20" s="1755">
        <v>0</v>
      </c>
      <c r="F20" s="1755"/>
      <c r="G20" s="1757">
        <v>0</v>
      </c>
      <c r="H20" s="1755"/>
      <c r="I20" s="1757">
        <v>0</v>
      </c>
      <c r="J20" s="1756"/>
      <c r="K20" s="1757">
        <v>0</v>
      </c>
      <c r="L20" s="1755"/>
      <c r="M20" s="1757">
        <v>0</v>
      </c>
      <c r="N20" s="1756"/>
      <c r="O20" s="1757"/>
      <c r="P20" s="1756"/>
      <c r="Q20" s="1757"/>
      <c r="R20" s="1756"/>
      <c r="S20" s="1757"/>
      <c r="T20" s="1756"/>
      <c r="U20" s="1757"/>
      <c r="V20" s="1756"/>
      <c r="W20" s="1757"/>
      <c r="X20" s="1756"/>
      <c r="Y20" s="1757"/>
      <c r="Z20" s="1307"/>
      <c r="AA20" s="1764">
        <f t="shared" si="0"/>
        <v>0</v>
      </c>
      <c r="AB20" s="2706"/>
      <c r="AC20" s="792"/>
    </row>
    <row r="21" spans="1:29" s="793" customFormat="1" ht="18">
      <c r="A21" s="1238" t="s">
        <v>830</v>
      </c>
      <c r="B21" s="1307"/>
      <c r="C21" s="1754">
        <v>0</v>
      </c>
      <c r="D21" s="1755"/>
      <c r="E21" s="1755">
        <v>0</v>
      </c>
      <c r="F21" s="1755"/>
      <c r="G21" s="1757">
        <v>0</v>
      </c>
      <c r="H21" s="1755"/>
      <c r="I21" s="1754">
        <v>539</v>
      </c>
      <c r="J21" s="1756"/>
      <c r="K21" s="1757">
        <v>0</v>
      </c>
      <c r="L21" s="1755"/>
      <c r="M21" s="1757">
        <v>196</v>
      </c>
      <c r="N21" s="1756"/>
      <c r="O21" s="1757"/>
      <c r="P21" s="1756"/>
      <c r="Q21" s="1757"/>
      <c r="R21" s="1756"/>
      <c r="S21" s="1757"/>
      <c r="T21" s="1756"/>
      <c r="U21" s="1757"/>
      <c r="V21" s="1756"/>
      <c r="W21" s="1757"/>
      <c r="X21" s="1756"/>
      <c r="Y21" s="1757"/>
      <c r="Z21" s="1307"/>
      <c r="AA21" s="1764">
        <f t="shared" si="0"/>
        <v>735</v>
      </c>
      <c r="AB21" s="2706"/>
      <c r="AC21" s="792"/>
    </row>
    <row r="22" spans="1:29" s="793" customFormat="1" ht="18">
      <c r="A22" s="1238" t="s">
        <v>831</v>
      </c>
      <c r="B22" s="1307"/>
      <c r="C22" s="1754">
        <v>35474</v>
      </c>
      <c r="D22" s="1755"/>
      <c r="E22" s="1755">
        <v>7600</v>
      </c>
      <c r="F22" s="1755"/>
      <c r="G22" s="1754">
        <v>40027</v>
      </c>
      <c r="H22" s="1755"/>
      <c r="I22" s="1754">
        <v>33541</v>
      </c>
      <c r="J22" s="1756"/>
      <c r="K22" s="1754">
        <v>9550</v>
      </c>
      <c r="L22" s="1755"/>
      <c r="M22" s="1754">
        <v>40007</v>
      </c>
      <c r="N22" s="1756"/>
      <c r="O22" s="1754"/>
      <c r="P22" s="1756"/>
      <c r="Q22" s="1757"/>
      <c r="R22" s="1756"/>
      <c r="S22" s="1757"/>
      <c r="T22" s="1756"/>
      <c r="U22" s="1757"/>
      <c r="V22" s="1756"/>
      <c r="W22" s="1757"/>
      <c r="X22" s="1756"/>
      <c r="Y22" s="1757"/>
      <c r="Z22" s="1307"/>
      <c r="AA22" s="1764">
        <f t="shared" si="0"/>
        <v>166199</v>
      </c>
      <c r="AB22" s="2706"/>
      <c r="AC22" s="792"/>
    </row>
    <row r="23" spans="1:29" s="793" customFormat="1" ht="18">
      <c r="A23" s="1238" t="s">
        <v>832</v>
      </c>
      <c r="B23" s="1307"/>
      <c r="C23" s="1754">
        <v>1768</v>
      </c>
      <c r="D23" s="1755"/>
      <c r="E23" s="1755">
        <v>1190</v>
      </c>
      <c r="F23" s="1755"/>
      <c r="G23" s="1754">
        <v>3230</v>
      </c>
      <c r="H23" s="1755"/>
      <c r="I23" s="1754">
        <v>2327</v>
      </c>
      <c r="J23" s="1756"/>
      <c r="K23" s="1754">
        <v>549</v>
      </c>
      <c r="L23" s="1755"/>
      <c r="M23" s="1754">
        <v>3388</v>
      </c>
      <c r="N23" s="1756"/>
      <c r="O23" s="1754"/>
      <c r="P23" s="1756"/>
      <c r="Q23" s="1757"/>
      <c r="R23" s="1756"/>
      <c r="S23" s="1757"/>
      <c r="T23" s="1756"/>
      <c r="U23" s="1757"/>
      <c r="V23" s="1756"/>
      <c r="W23" s="1757"/>
      <c r="X23" s="1756"/>
      <c r="Y23" s="1757"/>
      <c r="Z23" s="1307"/>
      <c r="AA23" s="1764">
        <f t="shared" si="0"/>
        <v>12452</v>
      </c>
      <c r="AB23" s="2706"/>
      <c r="AC23" s="792"/>
    </row>
    <row r="24" spans="1:29" s="793" customFormat="1" ht="18">
      <c r="A24" s="1238" t="s">
        <v>833</v>
      </c>
      <c r="B24" s="1307"/>
      <c r="C24" s="1760">
        <v>3861</v>
      </c>
      <c r="D24" s="1755"/>
      <c r="E24" s="1755">
        <v>2457</v>
      </c>
      <c r="F24" s="1755"/>
      <c r="G24" s="1754">
        <v>8169</v>
      </c>
      <c r="H24" s="1755"/>
      <c r="I24" s="1754">
        <v>5304</v>
      </c>
      <c r="J24" s="1756"/>
      <c r="K24" s="1754">
        <v>1896</v>
      </c>
      <c r="L24" s="1755"/>
      <c r="M24" s="1754">
        <v>9133</v>
      </c>
      <c r="N24" s="1756"/>
      <c r="O24" s="1754"/>
      <c r="P24" s="1756"/>
      <c r="Q24" s="1757"/>
      <c r="R24" s="1756"/>
      <c r="S24" s="1757"/>
      <c r="T24" s="1756"/>
      <c r="U24" s="1757"/>
      <c r="V24" s="1756"/>
      <c r="W24" s="1757"/>
      <c r="X24" s="1756"/>
      <c r="Y24" s="1757"/>
      <c r="Z24" s="1307"/>
      <c r="AA24" s="1764">
        <f t="shared" si="0"/>
        <v>30820</v>
      </c>
      <c r="AB24" s="2706"/>
      <c r="AC24" s="792"/>
    </row>
    <row r="25" spans="1:29" s="793" customFormat="1" ht="18">
      <c r="A25" s="1238" t="s">
        <v>834</v>
      </c>
      <c r="B25" s="1307"/>
      <c r="C25" s="1755">
        <v>5052</v>
      </c>
      <c r="D25" s="1755"/>
      <c r="E25" s="1755">
        <v>3704</v>
      </c>
      <c r="F25" s="1755"/>
      <c r="G25" s="1754">
        <v>3009</v>
      </c>
      <c r="H25" s="1755"/>
      <c r="I25" s="1754">
        <v>6702</v>
      </c>
      <c r="J25" s="1756"/>
      <c r="K25" s="1754">
        <v>1785</v>
      </c>
      <c r="L25" s="1755"/>
      <c r="M25" s="1754">
        <v>11636</v>
      </c>
      <c r="N25" s="1756"/>
      <c r="O25" s="1754"/>
      <c r="P25" s="1756"/>
      <c r="Q25" s="1757"/>
      <c r="R25" s="1756"/>
      <c r="S25" s="1757"/>
      <c r="T25" s="1756"/>
      <c r="U25" s="1757"/>
      <c r="V25" s="1756"/>
      <c r="W25" s="1757"/>
      <c r="X25" s="1756"/>
      <c r="Y25" s="1757"/>
      <c r="Z25" s="1307"/>
      <c r="AA25" s="1764">
        <f t="shared" si="0"/>
        <v>31888</v>
      </c>
      <c r="AB25" s="2706"/>
      <c r="AC25" s="792"/>
    </row>
    <row r="26" spans="1:29" s="793" customFormat="1" ht="18">
      <c r="A26" s="1238" t="s">
        <v>835</v>
      </c>
      <c r="B26" s="1307"/>
      <c r="C26" s="1754">
        <v>8917</v>
      </c>
      <c r="D26" s="1755"/>
      <c r="E26" s="1755">
        <v>7000</v>
      </c>
      <c r="F26" s="1755"/>
      <c r="G26" s="1754">
        <v>13839</v>
      </c>
      <c r="H26" s="1755"/>
      <c r="I26" s="1754">
        <v>13087</v>
      </c>
      <c r="J26" s="1756"/>
      <c r="K26" s="1754">
        <v>11939</v>
      </c>
      <c r="L26" s="1755"/>
      <c r="M26" s="1754">
        <v>16545</v>
      </c>
      <c r="N26" s="1756"/>
      <c r="O26" s="1754"/>
      <c r="P26" s="1756"/>
      <c r="Q26" s="1757"/>
      <c r="R26" s="1756"/>
      <c r="S26" s="1757"/>
      <c r="T26" s="1756"/>
      <c r="U26" s="1757"/>
      <c r="V26" s="1756"/>
      <c r="W26" s="1757"/>
      <c r="X26" s="1756"/>
      <c r="Y26" s="1757"/>
      <c r="Z26" s="1307"/>
      <c r="AA26" s="1764">
        <f t="shared" si="0"/>
        <v>71327</v>
      </c>
      <c r="AB26" s="2706"/>
      <c r="AC26" s="792"/>
    </row>
    <row r="27" spans="1:29" s="793" customFormat="1" ht="18">
      <c r="A27" s="1238" t="s">
        <v>836</v>
      </c>
      <c r="B27" s="1307"/>
      <c r="C27" s="1760">
        <v>2788</v>
      </c>
      <c r="D27" s="1755"/>
      <c r="E27" s="1755">
        <v>563</v>
      </c>
      <c r="F27" s="1755"/>
      <c r="G27" s="1754">
        <v>2007</v>
      </c>
      <c r="H27" s="1755"/>
      <c r="I27" s="1754">
        <v>2047</v>
      </c>
      <c r="J27" s="1756"/>
      <c r="K27" s="1754">
        <v>509</v>
      </c>
      <c r="L27" s="1755"/>
      <c r="M27" s="1754">
        <v>2365</v>
      </c>
      <c r="N27" s="1756"/>
      <c r="O27" s="1754"/>
      <c r="P27" s="1756"/>
      <c r="Q27" s="1757"/>
      <c r="R27" s="1756"/>
      <c r="S27" s="1757"/>
      <c r="T27" s="1756"/>
      <c r="U27" s="1757"/>
      <c r="V27" s="1756"/>
      <c r="W27" s="1757"/>
      <c r="X27" s="1756"/>
      <c r="Y27" s="1757"/>
      <c r="Z27" s="1307"/>
      <c r="AA27" s="1764">
        <f t="shared" si="0"/>
        <v>10279</v>
      </c>
      <c r="AB27" s="2706"/>
      <c r="AC27" s="792"/>
    </row>
    <row r="28" spans="1:29" s="793" customFormat="1" ht="18">
      <c r="A28" s="1238" t="s">
        <v>1213</v>
      </c>
      <c r="B28" s="1307"/>
      <c r="C28" s="1758">
        <v>114</v>
      </c>
      <c r="D28" s="1755"/>
      <c r="E28" s="1758">
        <v>17</v>
      </c>
      <c r="F28" s="1755"/>
      <c r="G28" s="1754">
        <v>139</v>
      </c>
      <c r="H28" s="1755"/>
      <c r="I28" s="1754">
        <v>72</v>
      </c>
      <c r="J28" s="1756"/>
      <c r="K28" s="1754">
        <v>5</v>
      </c>
      <c r="L28" s="1755"/>
      <c r="M28" s="1754">
        <v>233</v>
      </c>
      <c r="N28" s="1756"/>
      <c r="O28" s="1754"/>
      <c r="P28" s="1756"/>
      <c r="Q28" s="1757"/>
      <c r="R28" s="1756"/>
      <c r="S28" s="1757"/>
      <c r="T28" s="1756"/>
      <c r="U28" s="1757"/>
      <c r="V28" s="1756"/>
      <c r="W28" s="1757"/>
      <c r="X28" s="1756"/>
      <c r="Y28" s="1757"/>
      <c r="Z28" s="1307"/>
      <c r="AA28" s="3305">
        <f>ROUND(SUM(C28:Z28),0)</f>
        <v>580</v>
      </c>
      <c r="AB28" s="2706"/>
      <c r="AC28" s="792"/>
    </row>
    <row r="29" spans="1:29" s="793" customFormat="1" ht="18">
      <c r="A29" s="1238" t="s">
        <v>837</v>
      </c>
      <c r="B29" s="1307"/>
      <c r="C29" s="1755">
        <v>272</v>
      </c>
      <c r="D29" s="1755"/>
      <c r="E29" s="1755">
        <v>1</v>
      </c>
      <c r="F29" s="1755"/>
      <c r="G29" s="1761">
        <v>7</v>
      </c>
      <c r="H29" s="1755"/>
      <c r="I29" s="1761">
        <v>0</v>
      </c>
      <c r="J29" s="1756"/>
      <c r="K29" s="1761">
        <v>0</v>
      </c>
      <c r="L29" s="1755"/>
      <c r="M29" s="1761">
        <v>0</v>
      </c>
      <c r="N29" s="1756"/>
      <c r="O29" s="1761"/>
      <c r="P29" s="1756"/>
      <c r="Q29" s="1762"/>
      <c r="R29" s="1756"/>
      <c r="S29" s="1762"/>
      <c r="T29" s="1756"/>
      <c r="U29" s="1762"/>
      <c r="V29" s="1756"/>
      <c r="W29" s="1762"/>
      <c r="X29" s="1756"/>
      <c r="Y29" s="1762"/>
      <c r="Z29" s="1307"/>
      <c r="AA29" s="1764">
        <f t="shared" si="0"/>
        <v>280</v>
      </c>
      <c r="AB29" s="2706"/>
      <c r="AC29" s="792"/>
    </row>
    <row r="30" spans="1:29" s="793" customFormat="1" ht="18">
      <c r="A30" s="1308" t="s">
        <v>1212</v>
      </c>
      <c r="B30" s="1307"/>
      <c r="C30" s="1766">
        <f>ROUND(SUM(C14:C29),0)</f>
        <v>61210</v>
      </c>
      <c r="D30" s="1238"/>
      <c r="E30" s="1766">
        <f>ROUND(SUM(E14:E29),0)</f>
        <v>29560</v>
      </c>
      <c r="F30" s="1238"/>
      <c r="G30" s="1766">
        <f>ROUND(SUM(G14:G29),0)</f>
        <v>83855</v>
      </c>
      <c r="H30" s="1238"/>
      <c r="I30" s="1766">
        <f>ROUND(SUM(I14:I29),0)</f>
        <v>67433</v>
      </c>
      <c r="J30" s="1238"/>
      <c r="K30" s="1766">
        <f>ROUND(SUM(K14:K29),0)</f>
        <v>27865</v>
      </c>
      <c r="L30" s="1238"/>
      <c r="M30" s="1766">
        <f>ROUND(SUM(M14:M29),0)</f>
        <v>84914</v>
      </c>
      <c r="N30" s="1238"/>
      <c r="O30" s="1766">
        <f>ROUND(SUM(O14:O29),0)</f>
        <v>0</v>
      </c>
      <c r="P30" s="1238"/>
      <c r="Q30" s="1766">
        <f>ROUND(SUM(Q14:Q29),0)</f>
        <v>0</v>
      </c>
      <c r="R30" s="1238"/>
      <c r="S30" s="1766">
        <f>ROUND(SUM(S14:S29),0)</f>
        <v>0</v>
      </c>
      <c r="T30" s="1238"/>
      <c r="U30" s="1766">
        <f>ROUND(SUM(U14:U29),0)</f>
        <v>0</v>
      </c>
      <c r="V30" s="1238"/>
      <c r="W30" s="1766">
        <f>ROUND(SUM(W14:W29),0)</f>
        <v>0</v>
      </c>
      <c r="X30" s="1238"/>
      <c r="Y30" s="1766">
        <f>ROUND(SUM(Y14:Y29),0)</f>
        <v>0</v>
      </c>
      <c r="Z30" s="1238"/>
      <c r="AA30" s="1766">
        <f>ROUND(SUM(AA14:AA29),0)</f>
        <v>354837</v>
      </c>
      <c r="AB30" s="2706"/>
      <c r="AC30" s="792"/>
    </row>
    <row r="31" spans="1:29" s="793" customFormat="1" ht="18">
      <c r="A31"/>
      <c r="B31" s="1307"/>
      <c r="C31" s="1307"/>
      <c r="D31" s="1307"/>
      <c r="E31" s="1307"/>
      <c r="F31" s="1307"/>
      <c r="G31" s="1307"/>
      <c r="H31" s="1307"/>
      <c r="I31" s="1307"/>
      <c r="J31" s="1307"/>
      <c r="K31" s="1307"/>
      <c r="L31" s="1307"/>
      <c r="M31" s="1307"/>
      <c r="N31" s="1307"/>
      <c r="O31" s="1307"/>
      <c r="P31" s="1307"/>
      <c r="Q31" s="1307"/>
      <c r="R31" s="1307"/>
      <c r="S31" s="1307"/>
      <c r="T31" s="1307"/>
      <c r="U31" s="1307"/>
      <c r="V31" s="1307"/>
      <c r="W31" s="1307"/>
      <c r="X31" s="1307"/>
      <c r="Y31" s="1307"/>
      <c r="Z31" s="1307"/>
      <c r="AA31" s="1238"/>
      <c r="AB31" s="2706"/>
      <c r="AC31" s="792"/>
    </row>
    <row r="32" spans="1:29" s="793" customFormat="1" ht="18">
      <c r="A32" s="1238"/>
      <c r="B32" s="1307"/>
      <c r="C32" s="1307"/>
      <c r="D32" s="1307"/>
      <c r="E32" s="1307"/>
      <c r="F32" s="1307"/>
      <c r="G32" s="1307"/>
      <c r="H32" s="1307"/>
      <c r="I32" s="1307"/>
      <c r="J32" s="1307"/>
      <c r="K32" s="1307"/>
      <c r="L32" s="1307"/>
      <c r="M32" s="1307"/>
      <c r="N32" s="1307"/>
      <c r="O32" s="1307"/>
      <c r="P32" s="1307"/>
      <c r="Q32" s="1307"/>
      <c r="R32" s="1307"/>
      <c r="S32" s="1307"/>
      <c r="T32" s="1307"/>
      <c r="U32" s="1307"/>
      <c r="V32" s="1307"/>
      <c r="W32" s="1307"/>
      <c r="X32" s="1307"/>
      <c r="Y32" s="1307"/>
      <c r="Z32" s="1307"/>
      <c r="AA32" s="1238"/>
      <c r="AB32" s="2706"/>
      <c r="AC32" s="792"/>
    </row>
    <row r="33" spans="1:29" s="793" customFormat="1" ht="18">
      <c r="A33" s="1308" t="s">
        <v>838</v>
      </c>
      <c r="B33" s="1307"/>
      <c r="C33" s="1307"/>
      <c r="D33" s="1307"/>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238"/>
      <c r="AB33" s="2706"/>
      <c r="AC33" s="792"/>
    </row>
    <row r="34" spans="1:29" s="793" customFormat="1" ht="18">
      <c r="A34" s="1238" t="s">
        <v>828</v>
      </c>
      <c r="B34" s="1307"/>
      <c r="C34" s="1307"/>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238"/>
      <c r="AB34" s="2706"/>
      <c r="AC34" s="792"/>
    </row>
    <row r="35" spans="1:29" s="793" customFormat="1" ht="18">
      <c r="A35" s="1238" t="s">
        <v>839</v>
      </c>
      <c r="B35" s="1307"/>
      <c r="C35" s="1757">
        <v>0</v>
      </c>
      <c r="D35" s="1755"/>
      <c r="E35" s="1757">
        <v>0</v>
      </c>
      <c r="F35" s="1755"/>
      <c r="G35" s="1757">
        <v>0</v>
      </c>
      <c r="H35" s="1755"/>
      <c r="I35" s="1757">
        <v>0</v>
      </c>
      <c r="J35" s="1756"/>
      <c r="K35" s="1757">
        <v>0</v>
      </c>
      <c r="L35" s="1755"/>
      <c r="M35" s="1757">
        <v>0</v>
      </c>
      <c r="N35" s="1756"/>
      <c r="O35" s="1757"/>
      <c r="P35" s="1756"/>
      <c r="Q35" s="1757"/>
      <c r="R35" s="1756"/>
      <c r="S35" s="1757"/>
      <c r="T35" s="1756"/>
      <c r="U35" s="1757"/>
      <c r="V35" s="1756"/>
      <c r="W35" s="1757"/>
      <c r="X35" s="1756"/>
      <c r="Y35" s="1757"/>
      <c r="Z35" s="1307"/>
      <c r="AA35" s="1764">
        <f>ROUND(SUM(C35:Z35),0)</f>
        <v>0</v>
      </c>
      <c r="AB35" s="2706"/>
      <c r="AC35" s="792"/>
    </row>
    <row r="36" spans="1:29" s="793" customFormat="1" ht="18">
      <c r="A36" s="1238" t="s">
        <v>1373</v>
      </c>
      <c r="B36" s="1307"/>
      <c r="C36" s="1755">
        <v>8</v>
      </c>
      <c r="D36" s="1755"/>
      <c r="E36" s="1757">
        <v>7</v>
      </c>
      <c r="F36" s="1755"/>
      <c r="G36" s="1757">
        <v>0</v>
      </c>
      <c r="H36" s="1755"/>
      <c r="I36" s="1754">
        <v>63</v>
      </c>
      <c r="J36" s="1756"/>
      <c r="K36" s="1757">
        <v>-2</v>
      </c>
      <c r="L36" s="1755"/>
      <c r="M36" s="1754">
        <v>44</v>
      </c>
      <c r="N36" s="1756"/>
      <c r="O36" s="1754"/>
      <c r="P36" s="1756"/>
      <c r="Q36" s="1757"/>
      <c r="R36" s="1756"/>
      <c r="S36" s="1757"/>
      <c r="T36" s="1756"/>
      <c r="U36" s="1757"/>
      <c r="V36" s="1756"/>
      <c r="W36" s="1757"/>
      <c r="X36" s="1756"/>
      <c r="Y36" s="1757"/>
      <c r="Z36" s="1307"/>
      <c r="AA36" s="1764">
        <f>ROUND(SUM(C36:Z36),0)</f>
        <v>120</v>
      </c>
      <c r="AB36" s="2706"/>
      <c r="AC36" s="792"/>
    </row>
    <row r="37" spans="1:29" s="793" customFormat="1" ht="18">
      <c r="A37" s="1238" t="s">
        <v>840</v>
      </c>
      <c r="B37" s="1307"/>
      <c r="C37" s="1757">
        <v>0</v>
      </c>
      <c r="D37" s="1755"/>
      <c r="E37" s="1757">
        <v>0</v>
      </c>
      <c r="F37" s="1755"/>
      <c r="G37" s="1757">
        <v>0</v>
      </c>
      <c r="H37" s="1755"/>
      <c r="I37" s="1757">
        <v>0</v>
      </c>
      <c r="J37" s="1756"/>
      <c r="K37" s="1757">
        <v>289</v>
      </c>
      <c r="L37" s="1755"/>
      <c r="M37" s="1757">
        <v>1887</v>
      </c>
      <c r="N37" s="1756"/>
      <c r="O37" s="1757"/>
      <c r="P37" s="1756"/>
      <c r="Q37" s="1757"/>
      <c r="R37" s="1756"/>
      <c r="S37" s="1757"/>
      <c r="T37" s="1756"/>
      <c r="U37" s="1757"/>
      <c r="V37" s="1756"/>
      <c r="W37" s="1757"/>
      <c r="X37" s="1756"/>
      <c r="Y37" s="1757"/>
      <c r="Z37" s="1307"/>
      <c r="AA37" s="1764">
        <f>ROUND(SUM(C37:Z37),0)</f>
        <v>2176</v>
      </c>
      <c r="AB37" s="2706"/>
      <c r="AC37" s="792"/>
    </row>
    <row r="38" spans="1:29" s="793" customFormat="1" ht="18">
      <c r="A38" s="1238" t="s">
        <v>1375</v>
      </c>
      <c r="B38" s="1307"/>
      <c r="C38" s="1757">
        <v>0</v>
      </c>
      <c r="D38" s="1755"/>
      <c r="E38" s="1757">
        <v>0</v>
      </c>
      <c r="F38" s="1760"/>
      <c r="G38" s="1757">
        <v>0</v>
      </c>
      <c r="H38" s="1760"/>
      <c r="I38" s="1757">
        <v>0</v>
      </c>
      <c r="J38" s="1763"/>
      <c r="K38" s="1757">
        <v>0</v>
      </c>
      <c r="L38" s="1760"/>
      <c r="M38" s="1754">
        <v>0</v>
      </c>
      <c r="N38" s="1763"/>
      <c r="O38" s="1757"/>
      <c r="P38" s="1763"/>
      <c r="Q38" s="1757"/>
      <c r="R38" s="1763"/>
      <c r="S38" s="1757"/>
      <c r="T38" s="1763"/>
      <c r="U38" s="1757"/>
      <c r="V38" s="1763"/>
      <c r="W38" s="1757"/>
      <c r="X38" s="1763"/>
      <c r="Y38" s="1757"/>
      <c r="Z38" s="1307"/>
      <c r="AA38" s="1764">
        <f>ROUND(SUM(C38:Z38),0)</f>
        <v>0</v>
      </c>
      <c r="AB38" s="2706"/>
      <c r="AC38" s="792"/>
    </row>
    <row r="39" spans="1:29" s="790" customFormat="1" ht="18">
      <c r="A39" s="1238" t="s">
        <v>841</v>
      </c>
      <c r="B39" s="1307"/>
      <c r="C39" s="1762">
        <v>0</v>
      </c>
      <c r="D39" s="1755"/>
      <c r="E39" s="1762">
        <v>0</v>
      </c>
      <c r="F39" s="1755"/>
      <c r="G39" s="1762">
        <v>0</v>
      </c>
      <c r="H39" s="1755"/>
      <c r="I39" s="1757">
        <v>0</v>
      </c>
      <c r="J39" s="1756"/>
      <c r="K39" s="1757">
        <v>0</v>
      </c>
      <c r="L39" s="1755"/>
      <c r="M39" s="1757">
        <v>0</v>
      </c>
      <c r="N39" s="1756"/>
      <c r="O39" s="1757"/>
      <c r="P39" s="1756"/>
      <c r="Q39" s="1762"/>
      <c r="R39" s="1756"/>
      <c r="S39" s="1762"/>
      <c r="T39" s="1756"/>
      <c r="U39" s="1762"/>
      <c r="V39" s="1756"/>
      <c r="W39" s="1762"/>
      <c r="X39" s="1756"/>
      <c r="Y39" s="1762"/>
      <c r="Z39" s="1307"/>
      <c r="AA39" s="1764">
        <f>ROUND(SUM(C39:Z39),0)</f>
        <v>0</v>
      </c>
      <c r="AB39" s="2707"/>
      <c r="AC39" s="794"/>
    </row>
    <row r="40" spans="1:29" s="790" customFormat="1" ht="18">
      <c r="A40" s="1308" t="s">
        <v>1211</v>
      </c>
      <c r="B40" s="1307"/>
      <c r="C40" s="1766">
        <f>ROUND(SUM(C35:C39),0)</f>
        <v>8</v>
      </c>
      <c r="D40" s="1238"/>
      <c r="E40" s="1766">
        <f>ROUND(SUM(E35:E39),0)</f>
        <v>7</v>
      </c>
      <c r="F40" s="1238"/>
      <c r="G40" s="1766">
        <f>ROUND(SUM(G35:G39),0)</f>
        <v>0</v>
      </c>
      <c r="H40" s="1238"/>
      <c r="I40" s="1766">
        <f>ROUND(SUM(I35:I39),0)</f>
        <v>63</v>
      </c>
      <c r="J40" s="1238"/>
      <c r="K40" s="1766">
        <f>ROUND(SUM(K35:K39),0)</f>
        <v>287</v>
      </c>
      <c r="L40" s="1238"/>
      <c r="M40" s="1766">
        <f>ROUND(SUM(M35:M39),0)</f>
        <v>1931</v>
      </c>
      <c r="N40" s="1238"/>
      <c r="O40" s="1766">
        <f>ROUND(SUM(O35:O39),0)</f>
        <v>0</v>
      </c>
      <c r="P40" s="1238"/>
      <c r="Q40" s="1766">
        <f>ROUND(SUM(Q35:Q39),0)</f>
        <v>0</v>
      </c>
      <c r="R40" s="1238"/>
      <c r="S40" s="1766">
        <f>ROUND(SUM(S35:S39),0)</f>
        <v>0</v>
      </c>
      <c r="T40" s="1238"/>
      <c r="U40" s="1766">
        <f>ROUND(SUM(U35:U39),0)</f>
        <v>0</v>
      </c>
      <c r="V40" s="1238"/>
      <c r="W40" s="1766">
        <f>ROUND(SUM(W35:W39),0)</f>
        <v>0</v>
      </c>
      <c r="X40" s="1238"/>
      <c r="Y40" s="1766">
        <f>ROUND(SUM(Y35:Y39),0)</f>
        <v>0</v>
      </c>
      <c r="Z40" s="1238"/>
      <c r="AA40" s="1766">
        <f>ROUND(SUM(AA35:AA39),0)</f>
        <v>2296</v>
      </c>
      <c r="AB40" s="2707"/>
      <c r="AC40" s="794"/>
    </row>
    <row r="41" spans="1:29" ht="18">
      <c r="A41" s="1238"/>
      <c r="B41" s="1307"/>
      <c r="C41" s="1307"/>
      <c r="D41" s="1307"/>
      <c r="E41" s="1307"/>
      <c r="F41" s="1307"/>
      <c r="G41" s="1307"/>
      <c r="H41" s="1307"/>
      <c r="I41" s="1307"/>
      <c r="J41" s="1307"/>
      <c r="K41" s="1307"/>
      <c r="L41" s="1307"/>
      <c r="M41" s="1307"/>
      <c r="N41" s="1307"/>
      <c r="O41" s="1307"/>
      <c r="P41" s="1307"/>
      <c r="Q41" s="1307"/>
      <c r="R41" s="1307"/>
      <c r="S41" s="1307"/>
      <c r="T41" s="1307"/>
      <c r="U41" s="1307"/>
      <c r="V41" s="1307"/>
      <c r="W41" s="1307"/>
      <c r="X41" s="1307"/>
      <c r="Y41" s="1307"/>
      <c r="Z41" s="1307"/>
      <c r="AA41" s="1238"/>
      <c r="AB41" s="2707"/>
      <c r="AC41" s="795"/>
    </row>
    <row r="42" spans="1:29" ht="18">
      <c r="A42" s="1238"/>
      <c r="B42" s="1307"/>
      <c r="C42" s="1307"/>
      <c r="D42" s="1307"/>
      <c r="E42" s="1307"/>
      <c r="F42" s="1307"/>
      <c r="G42" s="1307"/>
      <c r="H42" s="1307"/>
      <c r="I42" s="1307"/>
      <c r="J42" s="1307"/>
      <c r="K42" s="1307"/>
      <c r="L42" s="1307"/>
      <c r="M42" s="1307"/>
      <c r="N42" s="1307"/>
      <c r="O42" s="1307"/>
      <c r="P42" s="1307"/>
      <c r="Q42" s="1307"/>
      <c r="R42" s="1307"/>
      <c r="S42" s="1997"/>
      <c r="T42" s="1307"/>
      <c r="U42" s="1307"/>
      <c r="V42" s="1307"/>
      <c r="W42" s="1307"/>
      <c r="X42" s="1307"/>
      <c r="Y42" s="1307"/>
      <c r="Z42" s="1307"/>
      <c r="AA42" s="1238"/>
    </row>
    <row r="43" spans="1:29" s="797" customFormat="1" ht="18.75" thickBot="1">
      <c r="A43" s="1308" t="s">
        <v>1210</v>
      </c>
      <c r="B43" s="1307"/>
      <c r="C43" s="1996">
        <f>ROUND(C30+C40,0)</f>
        <v>61218</v>
      </c>
      <c r="D43" s="1238"/>
      <c r="E43" s="1996">
        <f>ROUND(E30+E40,0)</f>
        <v>29567</v>
      </c>
      <c r="F43" s="1238"/>
      <c r="G43" s="1996">
        <f>ROUND(G30+G40,0)</f>
        <v>83855</v>
      </c>
      <c r="H43" s="1238"/>
      <c r="I43" s="1996">
        <f>ROUND(I30+I40,0)</f>
        <v>67496</v>
      </c>
      <c r="J43" s="1238"/>
      <c r="K43" s="1996">
        <f>ROUND(K30+K40,0)</f>
        <v>28152</v>
      </c>
      <c r="L43" s="1238"/>
      <c r="M43" s="1996">
        <f>ROUND(M30+M40,0)</f>
        <v>86845</v>
      </c>
      <c r="N43" s="1238"/>
      <c r="O43" s="1996">
        <f>ROUND(O30+O40,0)</f>
        <v>0</v>
      </c>
      <c r="P43" s="1238"/>
      <c r="Q43" s="1996">
        <f>ROUND(Q30+Q40,0)</f>
        <v>0</v>
      </c>
      <c r="R43" s="1238"/>
      <c r="S43" s="1996">
        <f>ROUND(S30+S40,0)</f>
        <v>0</v>
      </c>
      <c r="T43" s="1238"/>
      <c r="U43" s="1996">
        <f>ROUND(U30+U40,0)</f>
        <v>0</v>
      </c>
      <c r="V43" s="1238"/>
      <c r="W43" s="1996">
        <f>ROUND(W30+W40,0)</f>
        <v>0</v>
      </c>
      <c r="X43" s="1238"/>
      <c r="Y43" s="1996">
        <f>ROUND(Y30+Y40,0)</f>
        <v>0</v>
      </c>
      <c r="Z43" s="1238"/>
      <c r="AA43" s="1996">
        <f>ROUND(AA30+AA40,0)</f>
        <v>357133</v>
      </c>
    </row>
    <row r="44" spans="1:29" ht="15.75" thickTop="1">
      <c r="A44" s="2708"/>
      <c r="C44" s="798"/>
      <c r="D44" s="798"/>
      <c r="E44" s="798"/>
      <c r="F44" s="798"/>
      <c r="G44" s="798"/>
      <c r="H44" s="798"/>
      <c r="I44" s="798"/>
      <c r="J44" s="798"/>
      <c r="K44" s="798"/>
      <c r="L44" s="798"/>
      <c r="M44" s="798"/>
      <c r="N44" s="798"/>
      <c r="O44" s="798"/>
      <c r="P44" s="798"/>
      <c r="Q44" s="798"/>
      <c r="R44" s="798"/>
      <c r="S44" s="798"/>
      <c r="T44" s="798"/>
      <c r="U44" s="798"/>
      <c r="V44" s="798"/>
      <c r="W44" s="798"/>
      <c r="X44" s="798"/>
      <c r="Y44" s="799"/>
      <c r="AA44" s="796"/>
    </row>
    <row r="45" spans="1:29" ht="13.5" thickBot="1"/>
    <row r="46" spans="1:29" ht="20.100000000000001" customHeight="1">
      <c r="A46" s="3396" t="s">
        <v>842</v>
      </c>
      <c r="B46" s="3397"/>
      <c r="C46" s="3397"/>
      <c r="D46" s="3397"/>
      <c r="E46" s="3397"/>
      <c r="F46" s="3397"/>
      <c r="G46" s="3397"/>
      <c r="H46" s="3397"/>
      <c r="I46" s="3397"/>
      <c r="J46" s="3397"/>
      <c r="K46" s="3397"/>
      <c r="L46" s="3397"/>
      <c r="M46" s="3397"/>
      <c r="N46" s="3397"/>
      <c r="O46" s="3397"/>
      <c r="P46" s="3397"/>
      <c r="Q46" s="3397"/>
      <c r="R46" s="3397"/>
      <c r="S46" s="3397"/>
      <c r="T46" s="3397"/>
      <c r="U46" s="3397"/>
      <c r="V46" s="3397"/>
      <c r="W46" s="3397"/>
      <c r="X46" s="3397"/>
      <c r="Y46" s="3397"/>
      <c r="Z46" s="3397"/>
      <c r="AA46" s="3398"/>
    </row>
    <row r="47" spans="1:29" ht="20.100000000000001" customHeight="1">
      <c r="A47" s="3399"/>
      <c r="B47" s="3400"/>
      <c r="C47" s="3400"/>
      <c r="D47" s="3400"/>
      <c r="E47" s="3400"/>
      <c r="F47" s="3400"/>
      <c r="G47" s="3400"/>
      <c r="H47" s="3400"/>
      <c r="I47" s="3400"/>
      <c r="J47" s="3400"/>
      <c r="K47" s="3400"/>
      <c r="L47" s="3400"/>
      <c r="M47" s="3400"/>
      <c r="N47" s="3400"/>
      <c r="O47" s="3400"/>
      <c r="P47" s="3400"/>
      <c r="Q47" s="3400"/>
      <c r="R47" s="3400"/>
      <c r="S47" s="3400"/>
      <c r="T47" s="3400"/>
      <c r="U47" s="3400"/>
      <c r="V47" s="3400"/>
      <c r="W47" s="3400"/>
      <c r="X47" s="3400"/>
      <c r="Y47" s="3400"/>
      <c r="Z47" s="3400"/>
      <c r="AA47" s="3401"/>
    </row>
    <row r="48" spans="1:29" ht="20.100000000000001" customHeight="1">
      <c r="A48" s="3399"/>
      <c r="B48" s="3400"/>
      <c r="C48" s="3400"/>
      <c r="D48" s="3400"/>
      <c r="E48" s="3400"/>
      <c r="F48" s="3400"/>
      <c r="G48" s="3400"/>
      <c r="H48" s="3400"/>
      <c r="I48" s="3400"/>
      <c r="J48" s="3400"/>
      <c r="K48" s="3400"/>
      <c r="L48" s="3400"/>
      <c r="M48" s="3400"/>
      <c r="N48" s="3400"/>
      <c r="O48" s="3400"/>
      <c r="P48" s="3400"/>
      <c r="Q48" s="3400"/>
      <c r="R48" s="3400"/>
      <c r="S48" s="3400"/>
      <c r="T48" s="3400"/>
      <c r="U48" s="3400"/>
      <c r="V48" s="3400"/>
      <c r="W48" s="3400"/>
      <c r="X48" s="3400"/>
      <c r="Y48" s="3400"/>
      <c r="Z48" s="3400"/>
      <c r="AA48" s="3401"/>
    </row>
    <row r="49" spans="1:27" ht="20.100000000000001" customHeight="1" thickBot="1">
      <c r="A49" s="3402"/>
      <c r="B49" s="3403"/>
      <c r="C49" s="3403"/>
      <c r="D49" s="3403"/>
      <c r="E49" s="3403"/>
      <c r="F49" s="3403"/>
      <c r="G49" s="3403"/>
      <c r="H49" s="3403"/>
      <c r="I49" s="3403"/>
      <c r="J49" s="3403"/>
      <c r="K49" s="3403"/>
      <c r="L49" s="3403"/>
      <c r="M49" s="3403"/>
      <c r="N49" s="3403"/>
      <c r="O49" s="3403"/>
      <c r="P49" s="3403"/>
      <c r="Q49" s="3403"/>
      <c r="R49" s="3403"/>
      <c r="S49" s="3403"/>
      <c r="T49" s="3403"/>
      <c r="U49" s="3403"/>
      <c r="V49" s="3403"/>
      <c r="W49" s="3403"/>
      <c r="X49" s="3403"/>
      <c r="Y49" s="3403"/>
      <c r="Z49" s="3403"/>
      <c r="AA49" s="3404"/>
    </row>
    <row r="51" spans="1:27" ht="14.45" customHeight="1"/>
    <row r="54" spans="1:27" ht="14.1" customHeight="1"/>
  </sheetData>
  <customSheetViews>
    <customSheetView guid="{BD09DBC2-63A5-4D9C-9B00-4281066E9389}" scale="68" showPageBreaks="1" showGridLines="0" outlineSymbols="0" fitToPage="1" printArea="1">
      <selection activeCell="E30" sqref="E30"/>
      <pageMargins left="0.5" right="0.42708333300000001" top="0.46666666666666701" bottom="0.6" header="0" footer="0.25"/>
      <pageSetup scale="47" firstPageNumber="54" orientation="landscape" useFirstPageNumber="1" r:id="rId1"/>
      <headerFooter alignWithMargins="0">
        <oddFooter>&amp;C&amp;8&amp;P</oddFooter>
      </headerFooter>
    </customSheetView>
    <customSheetView guid="{C82E0A7D-2B5B-48FC-A705-3168E651E04C}" scale="68" showPageBreaks="1" showGridLines="0" outlineSymbols="0" fitToPage="1" printArea="1">
      <selection activeCell="AA14" sqref="AA14:AA43"/>
      <pageMargins left="0.5" right="0.42708333300000001" top="0.46666666666666701" bottom="0.6" header="0" footer="0.25"/>
      <pageSetup scale="47" orientation="landscape" r:id="rId2"/>
      <headerFooter scaleWithDoc="0" alignWithMargins="0">
        <oddFooter>&amp;C&amp;8 54</oddFooter>
      </headerFooter>
    </customSheetView>
    <customSheetView guid="{A8B05C3B-0E7E-44A3-A097-AF4C5C09F04E}" scale="68" showPageBreaks="1" showGridLines="0" outlineSymbols="0" fitToPage="1" printArea="1">
      <selection activeCell="AA14" sqref="AA14:AA43"/>
      <pageMargins left="0.5" right="0.42708333300000001" top="0.46666666666666701" bottom="0.6" header="0" footer="0.25"/>
      <pageSetup scale="47" orientation="landscape" r:id="rId3"/>
      <headerFooter scaleWithDoc="0" alignWithMargins="0">
        <oddFooter>&amp;C&amp;8 54</oddFooter>
      </headerFooter>
    </customSheetView>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4"/>
      <headerFooter scaleWithDoc="0" alignWithMargins="0">
        <oddFooter>&amp;C&amp;8 54</oddFooter>
      </headerFooter>
    </customSheetView>
    <customSheetView guid="{4735AAE3-27B4-4549-AAB4-50ACA997F5F5}" scale="68" showPageBreaks="1" showGridLines="0" outlineSymbols="0" fitToPage="1" printArea="1">
      <selection activeCell="W21" sqref="W21"/>
      <pageMargins left="0.5" right="0.42708333300000001" top="0.46666666666666701" bottom="0.6" header="0" footer="0.25"/>
      <pageSetup scale="47" orientation="landscape" r:id="rId5"/>
      <headerFooter scaleWithDoc="0" alignWithMargins="0">
        <oddFooter>&amp;C&amp;8 54</oddFooter>
      </headerFooter>
    </customSheetView>
    <customSheetView guid="{80622567-647A-4891-B8EE-6B9E2C4DAC44}" scale="68" showPageBreaks="1" showGridLines="0" outlineSymbols="0" fitToPage="1" printArea="1">
      <selection activeCell="E29" sqref="E29"/>
      <pageMargins left="0.5" right="0.42708333300000001" top="0.46666666666666701" bottom="0.6" header="0" footer="0.25"/>
      <pageSetup scale="47" orientation="landscape" r:id="rId6"/>
      <headerFooter scaleWithDoc="0" alignWithMargins="0">
        <oddFooter>&amp;C&amp;8 54</oddFooter>
      </headerFooter>
    </customSheetView>
    <customSheetView guid="{A97EE6C3-4DA8-41BD-BE43-F596EFCB43CA}" scale="68" showPageBreaks="1" showGridLines="0" outlineSymbols="0" fitToPage="1" printArea="1" topLeftCell="A16">
      <selection activeCell="E32" sqref="E32"/>
      <pageMargins left="0.5" right="0.42708333300000001" top="0.46666666666666701" bottom="0.6" header="0" footer="0.25"/>
      <pageSetup scale="47" orientation="landscape" r:id="rId7"/>
      <headerFooter scaleWithDoc="0" alignWithMargins="0">
        <oddFooter>&amp;C&amp;8 54</oddFooter>
      </headerFooter>
    </customSheetView>
    <customSheetView guid="{90B76C5A-2FC4-40F0-8436-3E4F075A4887}" scale="70" showPageBreaks="1" showGridLines="0" outlineSymbols="0" fitToPage="1" printArea="1">
      <selection activeCell="E29" sqref="E29"/>
      <pageMargins left="0.5" right="0.42708333300000001" top="0.46666666666666701" bottom="0.6" header="0" footer="0.25"/>
      <pageSetup scale="46" orientation="landscape" r:id="rId8"/>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4" orientation="landscape" useFirstPageNumber="1" r:id="rId9"/>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sheetPr codeName="Sheet41">
    <pageSetUpPr fitToPage="1"/>
  </sheetPr>
  <dimension ref="B1:P293"/>
  <sheetViews>
    <sheetView showGridLines="0" zoomScale="70" zoomScaleNormal="70" zoomScaleSheetLayoutView="70" workbookViewId="0"/>
  </sheetViews>
  <sheetFormatPr defaultRowHeight="15"/>
  <cols>
    <col min="1" max="1" width="8.88671875" style="2684" customWidth="1"/>
    <col min="2" max="2" width="10.21875" style="2684" customWidth="1"/>
    <col min="3" max="3" width="2.21875" style="2697" customWidth="1"/>
    <col min="4" max="4" width="50.44140625" style="2684" customWidth="1"/>
    <col min="5" max="5" width="8.88671875" style="2697"/>
    <col min="6" max="6" width="2.109375" style="1370" customWidth="1"/>
    <col min="7" max="7" width="23.88671875" style="2684" customWidth="1"/>
    <col min="8" max="8" width="2.109375" style="2697" customWidth="1"/>
    <col min="9" max="9" width="23.88671875" style="2684" customWidth="1"/>
    <col min="10" max="10" width="2.109375" style="2697" customWidth="1"/>
    <col min="11" max="11" width="23.88671875" style="2684" customWidth="1"/>
    <col min="12" max="12" width="2.109375" style="2697" customWidth="1"/>
    <col min="13" max="13" width="20.21875" style="2684" customWidth="1"/>
    <col min="14" max="14" width="2.109375" style="2697" customWidth="1"/>
    <col min="15" max="15" width="23.88671875" style="2684" customWidth="1"/>
    <col min="16" max="16" width="4.21875" style="2684" bestFit="1" customWidth="1"/>
    <col min="17" max="255" width="8.88671875" style="2684"/>
    <col min="256" max="257" width="8.88671875" style="2684" customWidth="1"/>
    <col min="258" max="258" width="10.21875" style="2684" customWidth="1"/>
    <col min="259" max="259" width="2.21875" style="2684" customWidth="1"/>
    <col min="260" max="260" width="50.44140625" style="2684" customWidth="1"/>
    <col min="261" max="261" width="8.88671875" style="2684"/>
    <col min="262" max="262" width="2.109375" style="2684" customWidth="1"/>
    <col min="263" max="263" width="23.88671875" style="2684" customWidth="1"/>
    <col min="264" max="264" width="2.109375" style="2684" customWidth="1"/>
    <col min="265" max="265" width="23.88671875" style="2684" customWidth="1"/>
    <col min="266" max="266" width="2.109375" style="2684" customWidth="1"/>
    <col min="267" max="267" width="23.88671875" style="2684" customWidth="1"/>
    <col min="268" max="268" width="2.109375" style="2684" customWidth="1"/>
    <col min="269" max="269" width="23.88671875" style="2684" customWidth="1"/>
    <col min="270" max="270" width="2.109375" style="2684" customWidth="1"/>
    <col min="271" max="271" width="23.88671875" style="2684" customWidth="1"/>
    <col min="272" max="272" width="2.77734375" style="2684" bestFit="1" customWidth="1"/>
    <col min="273" max="511" width="8.88671875" style="2684"/>
    <col min="512" max="513" width="8.88671875" style="2684" customWidth="1"/>
    <col min="514" max="514" width="10.21875" style="2684" customWidth="1"/>
    <col min="515" max="515" width="2.21875" style="2684" customWidth="1"/>
    <col min="516" max="516" width="50.44140625" style="2684" customWidth="1"/>
    <col min="517" max="517" width="8.88671875" style="2684"/>
    <col min="518" max="518" width="2.109375" style="2684" customWidth="1"/>
    <col min="519" max="519" width="23.88671875" style="2684" customWidth="1"/>
    <col min="520" max="520" width="2.109375" style="2684" customWidth="1"/>
    <col min="521" max="521" width="23.88671875" style="2684" customWidth="1"/>
    <col min="522" max="522" width="2.109375" style="2684" customWidth="1"/>
    <col min="523" max="523" width="23.88671875" style="2684" customWidth="1"/>
    <col min="524" max="524" width="2.109375" style="2684" customWidth="1"/>
    <col min="525" max="525" width="23.88671875" style="2684" customWidth="1"/>
    <col min="526" max="526" width="2.109375" style="2684" customWidth="1"/>
    <col min="527" max="527" width="23.88671875" style="2684" customWidth="1"/>
    <col min="528" max="528" width="2.77734375" style="2684" bestFit="1" customWidth="1"/>
    <col min="529" max="767" width="8.88671875" style="2684"/>
    <col min="768" max="769" width="8.88671875" style="2684" customWidth="1"/>
    <col min="770" max="770" width="10.21875" style="2684" customWidth="1"/>
    <col min="771" max="771" width="2.21875" style="2684" customWidth="1"/>
    <col min="772" max="772" width="50.44140625" style="2684" customWidth="1"/>
    <col min="773" max="773" width="8.88671875" style="2684"/>
    <col min="774" max="774" width="2.109375" style="2684" customWidth="1"/>
    <col min="775" max="775" width="23.88671875" style="2684" customWidth="1"/>
    <col min="776" max="776" width="2.109375" style="2684" customWidth="1"/>
    <col min="777" max="777" width="23.88671875" style="2684" customWidth="1"/>
    <col min="778" max="778" width="2.109375" style="2684" customWidth="1"/>
    <col min="779" max="779" width="23.88671875" style="2684" customWidth="1"/>
    <col min="780" max="780" width="2.109375" style="2684" customWidth="1"/>
    <col min="781" max="781" width="23.88671875" style="2684" customWidth="1"/>
    <col min="782" max="782" width="2.109375" style="2684" customWidth="1"/>
    <col min="783" max="783" width="23.88671875" style="2684" customWidth="1"/>
    <col min="784" max="784" width="2.77734375" style="2684" bestFit="1" customWidth="1"/>
    <col min="785" max="1023" width="8.88671875" style="2684"/>
    <col min="1024" max="1025" width="8.88671875" style="2684" customWidth="1"/>
    <col min="1026" max="1026" width="10.21875" style="2684" customWidth="1"/>
    <col min="1027" max="1027" width="2.21875" style="2684" customWidth="1"/>
    <col min="1028" max="1028" width="50.44140625" style="2684" customWidth="1"/>
    <col min="1029" max="1029" width="8.88671875" style="2684"/>
    <col min="1030" max="1030" width="2.109375" style="2684" customWidth="1"/>
    <col min="1031" max="1031" width="23.88671875" style="2684" customWidth="1"/>
    <col min="1032" max="1032" width="2.109375" style="2684" customWidth="1"/>
    <col min="1033" max="1033" width="23.88671875" style="2684" customWidth="1"/>
    <col min="1034" max="1034" width="2.109375" style="2684" customWidth="1"/>
    <col min="1035" max="1035" width="23.88671875" style="2684" customWidth="1"/>
    <col min="1036" max="1036" width="2.109375" style="2684" customWidth="1"/>
    <col min="1037" max="1037" width="23.88671875" style="2684" customWidth="1"/>
    <col min="1038" max="1038" width="2.109375" style="2684" customWidth="1"/>
    <col min="1039" max="1039" width="23.88671875" style="2684" customWidth="1"/>
    <col min="1040" max="1040" width="2.77734375" style="2684" bestFit="1" customWidth="1"/>
    <col min="1041" max="1279" width="8.88671875" style="2684"/>
    <col min="1280" max="1281" width="8.88671875" style="2684" customWidth="1"/>
    <col min="1282" max="1282" width="10.21875" style="2684" customWidth="1"/>
    <col min="1283" max="1283" width="2.21875" style="2684" customWidth="1"/>
    <col min="1284" max="1284" width="50.44140625" style="2684" customWidth="1"/>
    <col min="1285" max="1285" width="8.88671875" style="2684"/>
    <col min="1286" max="1286" width="2.109375" style="2684" customWidth="1"/>
    <col min="1287" max="1287" width="23.88671875" style="2684" customWidth="1"/>
    <col min="1288" max="1288" width="2.109375" style="2684" customWidth="1"/>
    <col min="1289" max="1289" width="23.88671875" style="2684" customWidth="1"/>
    <col min="1290" max="1290" width="2.109375" style="2684" customWidth="1"/>
    <col min="1291" max="1291" width="23.88671875" style="2684" customWidth="1"/>
    <col min="1292" max="1292" width="2.109375" style="2684" customWidth="1"/>
    <col min="1293" max="1293" width="23.88671875" style="2684" customWidth="1"/>
    <col min="1294" max="1294" width="2.109375" style="2684" customWidth="1"/>
    <col min="1295" max="1295" width="23.88671875" style="2684" customWidth="1"/>
    <col min="1296" max="1296" width="2.77734375" style="2684" bestFit="1" customWidth="1"/>
    <col min="1297" max="1535" width="8.88671875" style="2684"/>
    <col min="1536" max="1537" width="8.88671875" style="2684" customWidth="1"/>
    <col min="1538" max="1538" width="10.21875" style="2684" customWidth="1"/>
    <col min="1539" max="1539" width="2.21875" style="2684" customWidth="1"/>
    <col min="1540" max="1540" width="50.44140625" style="2684" customWidth="1"/>
    <col min="1541" max="1541" width="8.88671875" style="2684"/>
    <col min="1542" max="1542" width="2.109375" style="2684" customWidth="1"/>
    <col min="1543" max="1543" width="23.88671875" style="2684" customWidth="1"/>
    <col min="1544" max="1544" width="2.109375" style="2684" customWidth="1"/>
    <col min="1545" max="1545" width="23.88671875" style="2684" customWidth="1"/>
    <col min="1546" max="1546" width="2.109375" style="2684" customWidth="1"/>
    <col min="1547" max="1547" width="23.88671875" style="2684" customWidth="1"/>
    <col min="1548" max="1548" width="2.109375" style="2684" customWidth="1"/>
    <col min="1549" max="1549" width="23.88671875" style="2684" customWidth="1"/>
    <col min="1550" max="1550" width="2.109375" style="2684" customWidth="1"/>
    <col min="1551" max="1551" width="23.88671875" style="2684" customWidth="1"/>
    <col min="1552" max="1552" width="2.77734375" style="2684" bestFit="1" customWidth="1"/>
    <col min="1553" max="1791" width="8.88671875" style="2684"/>
    <col min="1792" max="1793" width="8.88671875" style="2684" customWidth="1"/>
    <col min="1794" max="1794" width="10.21875" style="2684" customWidth="1"/>
    <col min="1795" max="1795" width="2.21875" style="2684" customWidth="1"/>
    <col min="1796" max="1796" width="50.44140625" style="2684" customWidth="1"/>
    <col min="1797" max="1797" width="8.88671875" style="2684"/>
    <col min="1798" max="1798" width="2.109375" style="2684" customWidth="1"/>
    <col min="1799" max="1799" width="23.88671875" style="2684" customWidth="1"/>
    <col min="1800" max="1800" width="2.109375" style="2684" customWidth="1"/>
    <col min="1801" max="1801" width="23.88671875" style="2684" customWidth="1"/>
    <col min="1802" max="1802" width="2.109375" style="2684" customWidth="1"/>
    <col min="1803" max="1803" width="23.88671875" style="2684" customWidth="1"/>
    <col min="1804" max="1804" width="2.109375" style="2684" customWidth="1"/>
    <col min="1805" max="1805" width="23.88671875" style="2684" customWidth="1"/>
    <col min="1806" max="1806" width="2.109375" style="2684" customWidth="1"/>
    <col min="1807" max="1807" width="23.88671875" style="2684" customWidth="1"/>
    <col min="1808" max="1808" width="2.77734375" style="2684" bestFit="1" customWidth="1"/>
    <col min="1809" max="2047" width="8.88671875" style="2684"/>
    <col min="2048" max="2049" width="8.88671875" style="2684" customWidth="1"/>
    <col min="2050" max="2050" width="10.21875" style="2684" customWidth="1"/>
    <col min="2051" max="2051" width="2.21875" style="2684" customWidth="1"/>
    <col min="2052" max="2052" width="50.44140625" style="2684" customWidth="1"/>
    <col min="2053" max="2053" width="8.88671875" style="2684"/>
    <col min="2054" max="2054" width="2.109375" style="2684" customWidth="1"/>
    <col min="2055" max="2055" width="23.88671875" style="2684" customWidth="1"/>
    <col min="2056" max="2056" width="2.109375" style="2684" customWidth="1"/>
    <col min="2057" max="2057" width="23.88671875" style="2684" customWidth="1"/>
    <col min="2058" max="2058" width="2.109375" style="2684" customWidth="1"/>
    <col min="2059" max="2059" width="23.88671875" style="2684" customWidth="1"/>
    <col min="2060" max="2060" width="2.109375" style="2684" customWidth="1"/>
    <col min="2061" max="2061" width="23.88671875" style="2684" customWidth="1"/>
    <col min="2062" max="2062" width="2.109375" style="2684" customWidth="1"/>
    <col min="2063" max="2063" width="23.88671875" style="2684" customWidth="1"/>
    <col min="2064" max="2064" width="2.77734375" style="2684" bestFit="1" customWidth="1"/>
    <col min="2065" max="2303" width="8.88671875" style="2684"/>
    <col min="2304" max="2305" width="8.88671875" style="2684" customWidth="1"/>
    <col min="2306" max="2306" width="10.21875" style="2684" customWidth="1"/>
    <col min="2307" max="2307" width="2.21875" style="2684" customWidth="1"/>
    <col min="2308" max="2308" width="50.44140625" style="2684" customWidth="1"/>
    <col min="2309" max="2309" width="8.88671875" style="2684"/>
    <col min="2310" max="2310" width="2.109375" style="2684" customWidth="1"/>
    <col min="2311" max="2311" width="23.88671875" style="2684" customWidth="1"/>
    <col min="2312" max="2312" width="2.109375" style="2684" customWidth="1"/>
    <col min="2313" max="2313" width="23.88671875" style="2684" customWidth="1"/>
    <col min="2314" max="2314" width="2.109375" style="2684" customWidth="1"/>
    <col min="2315" max="2315" width="23.88671875" style="2684" customWidth="1"/>
    <col min="2316" max="2316" width="2.109375" style="2684" customWidth="1"/>
    <col min="2317" max="2317" width="23.88671875" style="2684" customWidth="1"/>
    <col min="2318" max="2318" width="2.109375" style="2684" customWidth="1"/>
    <col min="2319" max="2319" width="23.88671875" style="2684" customWidth="1"/>
    <col min="2320" max="2320" width="2.77734375" style="2684" bestFit="1" customWidth="1"/>
    <col min="2321" max="2559" width="8.88671875" style="2684"/>
    <col min="2560" max="2561" width="8.88671875" style="2684" customWidth="1"/>
    <col min="2562" max="2562" width="10.21875" style="2684" customWidth="1"/>
    <col min="2563" max="2563" width="2.21875" style="2684" customWidth="1"/>
    <col min="2564" max="2564" width="50.44140625" style="2684" customWidth="1"/>
    <col min="2565" max="2565" width="8.88671875" style="2684"/>
    <col min="2566" max="2566" width="2.109375" style="2684" customWidth="1"/>
    <col min="2567" max="2567" width="23.88671875" style="2684" customWidth="1"/>
    <col min="2568" max="2568" width="2.109375" style="2684" customWidth="1"/>
    <col min="2569" max="2569" width="23.88671875" style="2684" customWidth="1"/>
    <col min="2570" max="2570" width="2.109375" style="2684" customWidth="1"/>
    <col min="2571" max="2571" width="23.88671875" style="2684" customWidth="1"/>
    <col min="2572" max="2572" width="2.109375" style="2684" customWidth="1"/>
    <col min="2573" max="2573" width="23.88671875" style="2684" customWidth="1"/>
    <col min="2574" max="2574" width="2.109375" style="2684" customWidth="1"/>
    <col min="2575" max="2575" width="23.88671875" style="2684" customWidth="1"/>
    <col min="2576" max="2576" width="2.77734375" style="2684" bestFit="1" customWidth="1"/>
    <col min="2577" max="2815" width="8.88671875" style="2684"/>
    <col min="2816" max="2817" width="8.88671875" style="2684" customWidth="1"/>
    <col min="2818" max="2818" width="10.21875" style="2684" customWidth="1"/>
    <col min="2819" max="2819" width="2.21875" style="2684" customWidth="1"/>
    <col min="2820" max="2820" width="50.44140625" style="2684" customWidth="1"/>
    <col min="2821" max="2821" width="8.88671875" style="2684"/>
    <col min="2822" max="2822" width="2.109375" style="2684" customWidth="1"/>
    <col min="2823" max="2823" width="23.88671875" style="2684" customWidth="1"/>
    <col min="2824" max="2824" width="2.109375" style="2684" customWidth="1"/>
    <col min="2825" max="2825" width="23.88671875" style="2684" customWidth="1"/>
    <col min="2826" max="2826" width="2.109375" style="2684" customWidth="1"/>
    <col min="2827" max="2827" width="23.88671875" style="2684" customWidth="1"/>
    <col min="2828" max="2828" width="2.109375" style="2684" customWidth="1"/>
    <col min="2829" max="2829" width="23.88671875" style="2684" customWidth="1"/>
    <col min="2830" max="2830" width="2.109375" style="2684" customWidth="1"/>
    <col min="2831" max="2831" width="23.88671875" style="2684" customWidth="1"/>
    <col min="2832" max="2832" width="2.77734375" style="2684" bestFit="1" customWidth="1"/>
    <col min="2833" max="3071" width="8.88671875" style="2684"/>
    <col min="3072" max="3073" width="8.88671875" style="2684" customWidth="1"/>
    <col min="3074" max="3074" width="10.21875" style="2684" customWidth="1"/>
    <col min="3075" max="3075" width="2.21875" style="2684" customWidth="1"/>
    <col min="3076" max="3076" width="50.44140625" style="2684" customWidth="1"/>
    <col min="3077" max="3077" width="8.88671875" style="2684"/>
    <col min="3078" max="3078" width="2.109375" style="2684" customWidth="1"/>
    <col min="3079" max="3079" width="23.88671875" style="2684" customWidth="1"/>
    <col min="3080" max="3080" width="2.109375" style="2684" customWidth="1"/>
    <col min="3081" max="3081" width="23.88671875" style="2684" customWidth="1"/>
    <col min="3082" max="3082" width="2.109375" style="2684" customWidth="1"/>
    <col min="3083" max="3083" width="23.88671875" style="2684" customWidth="1"/>
    <col min="3084" max="3084" width="2.109375" style="2684" customWidth="1"/>
    <col min="3085" max="3085" width="23.88671875" style="2684" customWidth="1"/>
    <col min="3086" max="3086" width="2.109375" style="2684" customWidth="1"/>
    <col min="3087" max="3087" width="23.88671875" style="2684" customWidth="1"/>
    <col min="3088" max="3088" width="2.77734375" style="2684" bestFit="1" customWidth="1"/>
    <col min="3089" max="3327" width="8.88671875" style="2684"/>
    <col min="3328" max="3329" width="8.88671875" style="2684" customWidth="1"/>
    <col min="3330" max="3330" width="10.21875" style="2684" customWidth="1"/>
    <col min="3331" max="3331" width="2.21875" style="2684" customWidth="1"/>
    <col min="3332" max="3332" width="50.44140625" style="2684" customWidth="1"/>
    <col min="3333" max="3333" width="8.88671875" style="2684"/>
    <col min="3334" max="3334" width="2.109375" style="2684" customWidth="1"/>
    <col min="3335" max="3335" width="23.88671875" style="2684" customWidth="1"/>
    <col min="3336" max="3336" width="2.109375" style="2684" customWidth="1"/>
    <col min="3337" max="3337" width="23.88671875" style="2684" customWidth="1"/>
    <col min="3338" max="3338" width="2.109375" style="2684" customWidth="1"/>
    <col min="3339" max="3339" width="23.88671875" style="2684" customWidth="1"/>
    <col min="3340" max="3340" width="2.109375" style="2684" customWidth="1"/>
    <col min="3341" max="3341" width="23.88671875" style="2684" customWidth="1"/>
    <col min="3342" max="3342" width="2.109375" style="2684" customWidth="1"/>
    <col min="3343" max="3343" width="23.88671875" style="2684" customWidth="1"/>
    <col min="3344" max="3344" width="2.77734375" style="2684" bestFit="1" customWidth="1"/>
    <col min="3345" max="3583" width="8.88671875" style="2684"/>
    <col min="3584" max="3585" width="8.88671875" style="2684" customWidth="1"/>
    <col min="3586" max="3586" width="10.21875" style="2684" customWidth="1"/>
    <col min="3587" max="3587" width="2.21875" style="2684" customWidth="1"/>
    <col min="3588" max="3588" width="50.44140625" style="2684" customWidth="1"/>
    <col min="3589" max="3589" width="8.88671875" style="2684"/>
    <col min="3590" max="3590" width="2.109375" style="2684" customWidth="1"/>
    <col min="3591" max="3591" width="23.88671875" style="2684" customWidth="1"/>
    <col min="3592" max="3592" width="2.109375" style="2684" customWidth="1"/>
    <col min="3593" max="3593" width="23.88671875" style="2684" customWidth="1"/>
    <col min="3594" max="3594" width="2.109375" style="2684" customWidth="1"/>
    <col min="3595" max="3595" width="23.88671875" style="2684" customWidth="1"/>
    <col min="3596" max="3596" width="2.109375" style="2684" customWidth="1"/>
    <col min="3597" max="3597" width="23.88671875" style="2684" customWidth="1"/>
    <col min="3598" max="3598" width="2.109375" style="2684" customWidth="1"/>
    <col min="3599" max="3599" width="23.88671875" style="2684" customWidth="1"/>
    <col min="3600" max="3600" width="2.77734375" style="2684" bestFit="1" customWidth="1"/>
    <col min="3601" max="3839" width="8.88671875" style="2684"/>
    <col min="3840" max="3841" width="8.88671875" style="2684" customWidth="1"/>
    <col min="3842" max="3842" width="10.21875" style="2684" customWidth="1"/>
    <col min="3843" max="3843" width="2.21875" style="2684" customWidth="1"/>
    <col min="3844" max="3844" width="50.44140625" style="2684" customWidth="1"/>
    <col min="3845" max="3845" width="8.88671875" style="2684"/>
    <col min="3846" max="3846" width="2.109375" style="2684" customWidth="1"/>
    <col min="3847" max="3847" width="23.88671875" style="2684" customWidth="1"/>
    <col min="3848" max="3848" width="2.109375" style="2684" customWidth="1"/>
    <col min="3849" max="3849" width="23.88671875" style="2684" customWidth="1"/>
    <col min="3850" max="3850" width="2.109375" style="2684" customWidth="1"/>
    <col min="3851" max="3851" width="23.88671875" style="2684" customWidth="1"/>
    <col min="3852" max="3852" width="2.109375" style="2684" customWidth="1"/>
    <col min="3853" max="3853" width="23.88671875" style="2684" customWidth="1"/>
    <col min="3854" max="3854" width="2.109375" style="2684" customWidth="1"/>
    <col min="3855" max="3855" width="23.88671875" style="2684" customWidth="1"/>
    <col min="3856" max="3856" width="2.77734375" style="2684" bestFit="1" customWidth="1"/>
    <col min="3857" max="4095" width="8.88671875" style="2684"/>
    <col min="4096" max="4097" width="8.88671875" style="2684" customWidth="1"/>
    <col min="4098" max="4098" width="10.21875" style="2684" customWidth="1"/>
    <col min="4099" max="4099" width="2.21875" style="2684" customWidth="1"/>
    <col min="4100" max="4100" width="50.44140625" style="2684" customWidth="1"/>
    <col min="4101" max="4101" width="8.88671875" style="2684"/>
    <col min="4102" max="4102" width="2.109375" style="2684" customWidth="1"/>
    <col min="4103" max="4103" width="23.88671875" style="2684" customWidth="1"/>
    <col min="4104" max="4104" width="2.109375" style="2684" customWidth="1"/>
    <col min="4105" max="4105" width="23.88671875" style="2684" customWidth="1"/>
    <col min="4106" max="4106" width="2.109375" style="2684" customWidth="1"/>
    <col min="4107" max="4107" width="23.88671875" style="2684" customWidth="1"/>
    <col min="4108" max="4108" width="2.109375" style="2684" customWidth="1"/>
    <col min="4109" max="4109" width="23.88671875" style="2684" customWidth="1"/>
    <col min="4110" max="4110" width="2.109375" style="2684" customWidth="1"/>
    <col min="4111" max="4111" width="23.88671875" style="2684" customWidth="1"/>
    <col min="4112" max="4112" width="2.77734375" style="2684" bestFit="1" customWidth="1"/>
    <col min="4113" max="4351" width="8.88671875" style="2684"/>
    <col min="4352" max="4353" width="8.88671875" style="2684" customWidth="1"/>
    <col min="4354" max="4354" width="10.21875" style="2684" customWidth="1"/>
    <col min="4355" max="4355" width="2.21875" style="2684" customWidth="1"/>
    <col min="4356" max="4356" width="50.44140625" style="2684" customWidth="1"/>
    <col min="4357" max="4357" width="8.88671875" style="2684"/>
    <col min="4358" max="4358" width="2.109375" style="2684" customWidth="1"/>
    <col min="4359" max="4359" width="23.88671875" style="2684" customWidth="1"/>
    <col min="4360" max="4360" width="2.109375" style="2684" customWidth="1"/>
    <col min="4361" max="4361" width="23.88671875" style="2684" customWidth="1"/>
    <col min="4362" max="4362" width="2.109375" style="2684" customWidth="1"/>
    <col min="4363" max="4363" width="23.88671875" style="2684" customWidth="1"/>
    <col min="4364" max="4364" width="2.109375" style="2684" customWidth="1"/>
    <col min="4365" max="4365" width="23.88671875" style="2684" customWidth="1"/>
    <col min="4366" max="4366" width="2.109375" style="2684" customWidth="1"/>
    <col min="4367" max="4367" width="23.88671875" style="2684" customWidth="1"/>
    <col min="4368" max="4368" width="2.77734375" style="2684" bestFit="1" customWidth="1"/>
    <col min="4369" max="4607" width="8.88671875" style="2684"/>
    <col min="4608" max="4609" width="8.88671875" style="2684" customWidth="1"/>
    <col min="4610" max="4610" width="10.21875" style="2684" customWidth="1"/>
    <col min="4611" max="4611" width="2.21875" style="2684" customWidth="1"/>
    <col min="4612" max="4612" width="50.44140625" style="2684" customWidth="1"/>
    <col min="4613" max="4613" width="8.88671875" style="2684"/>
    <col min="4614" max="4614" width="2.109375" style="2684" customWidth="1"/>
    <col min="4615" max="4615" width="23.88671875" style="2684" customWidth="1"/>
    <col min="4616" max="4616" width="2.109375" style="2684" customWidth="1"/>
    <col min="4617" max="4617" width="23.88671875" style="2684" customWidth="1"/>
    <col min="4618" max="4618" width="2.109375" style="2684" customWidth="1"/>
    <col min="4619" max="4619" width="23.88671875" style="2684" customWidth="1"/>
    <col min="4620" max="4620" width="2.109375" style="2684" customWidth="1"/>
    <col min="4621" max="4621" width="23.88671875" style="2684" customWidth="1"/>
    <col min="4622" max="4622" width="2.109375" style="2684" customWidth="1"/>
    <col min="4623" max="4623" width="23.88671875" style="2684" customWidth="1"/>
    <col min="4624" max="4624" width="2.77734375" style="2684" bestFit="1" customWidth="1"/>
    <col min="4625" max="4863" width="8.88671875" style="2684"/>
    <col min="4864" max="4865" width="8.88671875" style="2684" customWidth="1"/>
    <col min="4866" max="4866" width="10.21875" style="2684" customWidth="1"/>
    <col min="4867" max="4867" width="2.21875" style="2684" customWidth="1"/>
    <col min="4868" max="4868" width="50.44140625" style="2684" customWidth="1"/>
    <col min="4869" max="4869" width="8.88671875" style="2684"/>
    <col min="4870" max="4870" width="2.109375" style="2684" customWidth="1"/>
    <col min="4871" max="4871" width="23.88671875" style="2684" customWidth="1"/>
    <col min="4872" max="4872" width="2.109375" style="2684" customWidth="1"/>
    <col min="4873" max="4873" width="23.88671875" style="2684" customWidth="1"/>
    <col min="4874" max="4874" width="2.109375" style="2684" customWidth="1"/>
    <col min="4875" max="4875" width="23.88671875" style="2684" customWidth="1"/>
    <col min="4876" max="4876" width="2.109375" style="2684" customWidth="1"/>
    <col min="4877" max="4877" width="23.88671875" style="2684" customWidth="1"/>
    <col min="4878" max="4878" width="2.109375" style="2684" customWidth="1"/>
    <col min="4879" max="4879" width="23.88671875" style="2684" customWidth="1"/>
    <col min="4880" max="4880" width="2.77734375" style="2684" bestFit="1" customWidth="1"/>
    <col min="4881" max="5119" width="8.88671875" style="2684"/>
    <col min="5120" max="5121" width="8.88671875" style="2684" customWidth="1"/>
    <col min="5122" max="5122" width="10.21875" style="2684" customWidth="1"/>
    <col min="5123" max="5123" width="2.21875" style="2684" customWidth="1"/>
    <col min="5124" max="5124" width="50.44140625" style="2684" customWidth="1"/>
    <col min="5125" max="5125" width="8.88671875" style="2684"/>
    <col min="5126" max="5126" width="2.109375" style="2684" customWidth="1"/>
    <col min="5127" max="5127" width="23.88671875" style="2684" customWidth="1"/>
    <col min="5128" max="5128" width="2.109375" style="2684" customWidth="1"/>
    <col min="5129" max="5129" width="23.88671875" style="2684" customWidth="1"/>
    <col min="5130" max="5130" width="2.109375" style="2684" customWidth="1"/>
    <col min="5131" max="5131" width="23.88671875" style="2684" customWidth="1"/>
    <col min="5132" max="5132" width="2.109375" style="2684" customWidth="1"/>
    <col min="5133" max="5133" width="23.88671875" style="2684" customWidth="1"/>
    <col min="5134" max="5134" width="2.109375" style="2684" customWidth="1"/>
    <col min="5135" max="5135" width="23.88671875" style="2684" customWidth="1"/>
    <col min="5136" max="5136" width="2.77734375" style="2684" bestFit="1" customWidth="1"/>
    <col min="5137" max="5375" width="8.88671875" style="2684"/>
    <col min="5376" max="5377" width="8.88671875" style="2684" customWidth="1"/>
    <col min="5378" max="5378" width="10.21875" style="2684" customWidth="1"/>
    <col min="5379" max="5379" width="2.21875" style="2684" customWidth="1"/>
    <col min="5380" max="5380" width="50.44140625" style="2684" customWidth="1"/>
    <col min="5381" max="5381" width="8.88671875" style="2684"/>
    <col min="5382" max="5382" width="2.109375" style="2684" customWidth="1"/>
    <col min="5383" max="5383" width="23.88671875" style="2684" customWidth="1"/>
    <col min="5384" max="5384" width="2.109375" style="2684" customWidth="1"/>
    <col min="5385" max="5385" width="23.88671875" style="2684" customWidth="1"/>
    <col min="5386" max="5386" width="2.109375" style="2684" customWidth="1"/>
    <col min="5387" max="5387" width="23.88671875" style="2684" customWidth="1"/>
    <col min="5388" max="5388" width="2.109375" style="2684" customWidth="1"/>
    <col min="5389" max="5389" width="23.88671875" style="2684" customWidth="1"/>
    <col min="5390" max="5390" width="2.109375" style="2684" customWidth="1"/>
    <col min="5391" max="5391" width="23.88671875" style="2684" customWidth="1"/>
    <col min="5392" max="5392" width="2.77734375" style="2684" bestFit="1" customWidth="1"/>
    <col min="5393" max="5631" width="8.88671875" style="2684"/>
    <col min="5632" max="5633" width="8.88671875" style="2684" customWidth="1"/>
    <col min="5634" max="5634" width="10.21875" style="2684" customWidth="1"/>
    <col min="5635" max="5635" width="2.21875" style="2684" customWidth="1"/>
    <col min="5636" max="5636" width="50.44140625" style="2684" customWidth="1"/>
    <col min="5637" max="5637" width="8.88671875" style="2684"/>
    <col min="5638" max="5638" width="2.109375" style="2684" customWidth="1"/>
    <col min="5639" max="5639" width="23.88671875" style="2684" customWidth="1"/>
    <col min="5640" max="5640" width="2.109375" style="2684" customWidth="1"/>
    <col min="5641" max="5641" width="23.88671875" style="2684" customWidth="1"/>
    <col min="5642" max="5642" width="2.109375" style="2684" customWidth="1"/>
    <col min="5643" max="5643" width="23.88671875" style="2684" customWidth="1"/>
    <col min="5644" max="5644" width="2.109375" style="2684" customWidth="1"/>
    <col min="5645" max="5645" width="23.88671875" style="2684" customWidth="1"/>
    <col min="5646" max="5646" width="2.109375" style="2684" customWidth="1"/>
    <col min="5647" max="5647" width="23.88671875" style="2684" customWidth="1"/>
    <col min="5648" max="5648" width="2.77734375" style="2684" bestFit="1" customWidth="1"/>
    <col min="5649" max="5887" width="8.88671875" style="2684"/>
    <col min="5888" max="5889" width="8.88671875" style="2684" customWidth="1"/>
    <col min="5890" max="5890" width="10.21875" style="2684" customWidth="1"/>
    <col min="5891" max="5891" width="2.21875" style="2684" customWidth="1"/>
    <col min="5892" max="5892" width="50.44140625" style="2684" customWidth="1"/>
    <col min="5893" max="5893" width="8.88671875" style="2684"/>
    <col min="5894" max="5894" width="2.109375" style="2684" customWidth="1"/>
    <col min="5895" max="5895" width="23.88671875" style="2684" customWidth="1"/>
    <col min="5896" max="5896" width="2.109375" style="2684" customWidth="1"/>
    <col min="5897" max="5897" width="23.88671875" style="2684" customWidth="1"/>
    <col min="5898" max="5898" width="2.109375" style="2684" customWidth="1"/>
    <col min="5899" max="5899" width="23.88671875" style="2684" customWidth="1"/>
    <col min="5900" max="5900" width="2.109375" style="2684" customWidth="1"/>
    <col min="5901" max="5901" width="23.88671875" style="2684" customWidth="1"/>
    <col min="5902" max="5902" width="2.109375" style="2684" customWidth="1"/>
    <col min="5903" max="5903" width="23.88671875" style="2684" customWidth="1"/>
    <col min="5904" max="5904" width="2.77734375" style="2684" bestFit="1" customWidth="1"/>
    <col min="5905" max="6143" width="8.88671875" style="2684"/>
    <col min="6144" max="6145" width="8.88671875" style="2684" customWidth="1"/>
    <col min="6146" max="6146" width="10.21875" style="2684" customWidth="1"/>
    <col min="6147" max="6147" width="2.21875" style="2684" customWidth="1"/>
    <col min="6148" max="6148" width="50.44140625" style="2684" customWidth="1"/>
    <col min="6149" max="6149" width="8.88671875" style="2684"/>
    <col min="6150" max="6150" width="2.109375" style="2684" customWidth="1"/>
    <col min="6151" max="6151" width="23.88671875" style="2684" customWidth="1"/>
    <col min="6152" max="6152" width="2.109375" style="2684" customWidth="1"/>
    <col min="6153" max="6153" width="23.88671875" style="2684" customWidth="1"/>
    <col min="6154" max="6154" width="2.109375" style="2684" customWidth="1"/>
    <col min="6155" max="6155" width="23.88671875" style="2684" customWidth="1"/>
    <col min="6156" max="6156" width="2.109375" style="2684" customWidth="1"/>
    <col min="6157" max="6157" width="23.88671875" style="2684" customWidth="1"/>
    <col min="6158" max="6158" width="2.109375" style="2684" customWidth="1"/>
    <col min="6159" max="6159" width="23.88671875" style="2684" customWidth="1"/>
    <col min="6160" max="6160" width="2.77734375" style="2684" bestFit="1" customWidth="1"/>
    <col min="6161" max="6399" width="8.88671875" style="2684"/>
    <col min="6400" max="6401" width="8.88671875" style="2684" customWidth="1"/>
    <col min="6402" max="6402" width="10.21875" style="2684" customWidth="1"/>
    <col min="6403" max="6403" width="2.21875" style="2684" customWidth="1"/>
    <col min="6404" max="6404" width="50.44140625" style="2684" customWidth="1"/>
    <col min="6405" max="6405" width="8.88671875" style="2684"/>
    <col min="6406" max="6406" width="2.109375" style="2684" customWidth="1"/>
    <col min="6407" max="6407" width="23.88671875" style="2684" customWidth="1"/>
    <col min="6408" max="6408" width="2.109375" style="2684" customWidth="1"/>
    <col min="6409" max="6409" width="23.88671875" style="2684" customWidth="1"/>
    <col min="6410" max="6410" width="2.109375" style="2684" customWidth="1"/>
    <col min="6411" max="6411" width="23.88671875" style="2684" customWidth="1"/>
    <col min="6412" max="6412" width="2.109375" style="2684" customWidth="1"/>
    <col min="6413" max="6413" width="23.88671875" style="2684" customWidth="1"/>
    <col min="6414" max="6414" width="2.109375" style="2684" customWidth="1"/>
    <col min="6415" max="6415" width="23.88671875" style="2684" customWidth="1"/>
    <col min="6416" max="6416" width="2.77734375" style="2684" bestFit="1" customWidth="1"/>
    <col min="6417" max="6655" width="8.88671875" style="2684"/>
    <col min="6656" max="6657" width="8.88671875" style="2684" customWidth="1"/>
    <col min="6658" max="6658" width="10.21875" style="2684" customWidth="1"/>
    <col min="6659" max="6659" width="2.21875" style="2684" customWidth="1"/>
    <col min="6660" max="6660" width="50.44140625" style="2684" customWidth="1"/>
    <col min="6661" max="6661" width="8.88671875" style="2684"/>
    <col min="6662" max="6662" width="2.109375" style="2684" customWidth="1"/>
    <col min="6663" max="6663" width="23.88671875" style="2684" customWidth="1"/>
    <col min="6664" max="6664" width="2.109375" style="2684" customWidth="1"/>
    <col min="6665" max="6665" width="23.88671875" style="2684" customWidth="1"/>
    <col min="6666" max="6666" width="2.109375" style="2684" customWidth="1"/>
    <col min="6667" max="6667" width="23.88671875" style="2684" customWidth="1"/>
    <col min="6668" max="6668" width="2.109375" style="2684" customWidth="1"/>
    <col min="6669" max="6669" width="23.88671875" style="2684" customWidth="1"/>
    <col min="6670" max="6670" width="2.109375" style="2684" customWidth="1"/>
    <col min="6671" max="6671" width="23.88671875" style="2684" customWidth="1"/>
    <col min="6672" max="6672" width="2.77734375" style="2684" bestFit="1" customWidth="1"/>
    <col min="6673" max="6911" width="8.88671875" style="2684"/>
    <col min="6912" max="6913" width="8.88671875" style="2684" customWidth="1"/>
    <col min="6914" max="6914" width="10.21875" style="2684" customWidth="1"/>
    <col min="6915" max="6915" width="2.21875" style="2684" customWidth="1"/>
    <col min="6916" max="6916" width="50.44140625" style="2684" customWidth="1"/>
    <col min="6917" max="6917" width="8.88671875" style="2684"/>
    <col min="6918" max="6918" width="2.109375" style="2684" customWidth="1"/>
    <col min="6919" max="6919" width="23.88671875" style="2684" customWidth="1"/>
    <col min="6920" max="6920" width="2.109375" style="2684" customWidth="1"/>
    <col min="6921" max="6921" width="23.88671875" style="2684" customWidth="1"/>
    <col min="6922" max="6922" width="2.109375" style="2684" customWidth="1"/>
    <col min="6923" max="6923" width="23.88671875" style="2684" customWidth="1"/>
    <col min="6924" max="6924" width="2.109375" style="2684" customWidth="1"/>
    <col min="6925" max="6925" width="23.88671875" style="2684" customWidth="1"/>
    <col min="6926" max="6926" width="2.109375" style="2684" customWidth="1"/>
    <col min="6927" max="6927" width="23.88671875" style="2684" customWidth="1"/>
    <col min="6928" max="6928" width="2.77734375" style="2684" bestFit="1" customWidth="1"/>
    <col min="6929" max="7167" width="8.88671875" style="2684"/>
    <col min="7168" max="7169" width="8.88671875" style="2684" customWidth="1"/>
    <col min="7170" max="7170" width="10.21875" style="2684" customWidth="1"/>
    <col min="7171" max="7171" width="2.21875" style="2684" customWidth="1"/>
    <col min="7172" max="7172" width="50.44140625" style="2684" customWidth="1"/>
    <col min="7173" max="7173" width="8.88671875" style="2684"/>
    <col min="7174" max="7174" width="2.109375" style="2684" customWidth="1"/>
    <col min="7175" max="7175" width="23.88671875" style="2684" customWidth="1"/>
    <col min="7176" max="7176" width="2.109375" style="2684" customWidth="1"/>
    <col min="7177" max="7177" width="23.88671875" style="2684" customWidth="1"/>
    <col min="7178" max="7178" width="2.109375" style="2684" customWidth="1"/>
    <col min="7179" max="7179" width="23.88671875" style="2684" customWidth="1"/>
    <col min="7180" max="7180" width="2.109375" style="2684" customWidth="1"/>
    <col min="7181" max="7181" width="23.88671875" style="2684" customWidth="1"/>
    <col min="7182" max="7182" width="2.109375" style="2684" customWidth="1"/>
    <col min="7183" max="7183" width="23.88671875" style="2684" customWidth="1"/>
    <col min="7184" max="7184" width="2.77734375" style="2684" bestFit="1" customWidth="1"/>
    <col min="7185" max="7423" width="8.88671875" style="2684"/>
    <col min="7424" max="7425" width="8.88671875" style="2684" customWidth="1"/>
    <col min="7426" max="7426" width="10.21875" style="2684" customWidth="1"/>
    <col min="7427" max="7427" width="2.21875" style="2684" customWidth="1"/>
    <col min="7428" max="7428" width="50.44140625" style="2684" customWidth="1"/>
    <col min="7429" max="7429" width="8.88671875" style="2684"/>
    <col min="7430" max="7430" width="2.109375" style="2684" customWidth="1"/>
    <col min="7431" max="7431" width="23.88671875" style="2684" customWidth="1"/>
    <col min="7432" max="7432" width="2.109375" style="2684" customWidth="1"/>
    <col min="7433" max="7433" width="23.88671875" style="2684" customWidth="1"/>
    <col min="7434" max="7434" width="2.109375" style="2684" customWidth="1"/>
    <col min="7435" max="7435" width="23.88671875" style="2684" customWidth="1"/>
    <col min="7436" max="7436" width="2.109375" style="2684" customWidth="1"/>
    <col min="7437" max="7437" width="23.88671875" style="2684" customWidth="1"/>
    <col min="7438" max="7438" width="2.109375" style="2684" customWidth="1"/>
    <col min="7439" max="7439" width="23.88671875" style="2684" customWidth="1"/>
    <col min="7440" max="7440" width="2.77734375" style="2684" bestFit="1" customWidth="1"/>
    <col min="7441" max="7679" width="8.88671875" style="2684"/>
    <col min="7680" max="7681" width="8.88671875" style="2684" customWidth="1"/>
    <col min="7682" max="7682" width="10.21875" style="2684" customWidth="1"/>
    <col min="7683" max="7683" width="2.21875" style="2684" customWidth="1"/>
    <col min="7684" max="7684" width="50.44140625" style="2684" customWidth="1"/>
    <col min="7685" max="7685" width="8.88671875" style="2684"/>
    <col min="7686" max="7686" width="2.109375" style="2684" customWidth="1"/>
    <col min="7687" max="7687" width="23.88671875" style="2684" customWidth="1"/>
    <col min="7688" max="7688" width="2.109375" style="2684" customWidth="1"/>
    <col min="7689" max="7689" width="23.88671875" style="2684" customWidth="1"/>
    <col min="7690" max="7690" width="2.109375" style="2684" customWidth="1"/>
    <col min="7691" max="7691" width="23.88671875" style="2684" customWidth="1"/>
    <col min="7692" max="7692" width="2.109375" style="2684" customWidth="1"/>
    <col min="7693" max="7693" width="23.88671875" style="2684" customWidth="1"/>
    <col min="7694" max="7694" width="2.109375" style="2684" customWidth="1"/>
    <col min="7695" max="7695" width="23.88671875" style="2684" customWidth="1"/>
    <col min="7696" max="7696" width="2.77734375" style="2684" bestFit="1" customWidth="1"/>
    <col min="7697" max="7935" width="8.88671875" style="2684"/>
    <col min="7936" max="7937" width="8.88671875" style="2684" customWidth="1"/>
    <col min="7938" max="7938" width="10.21875" style="2684" customWidth="1"/>
    <col min="7939" max="7939" width="2.21875" style="2684" customWidth="1"/>
    <col min="7940" max="7940" width="50.44140625" style="2684" customWidth="1"/>
    <col min="7941" max="7941" width="8.88671875" style="2684"/>
    <col min="7942" max="7942" width="2.109375" style="2684" customWidth="1"/>
    <col min="7943" max="7943" width="23.88671875" style="2684" customWidth="1"/>
    <col min="7944" max="7944" width="2.109375" style="2684" customWidth="1"/>
    <col min="7945" max="7945" width="23.88671875" style="2684" customWidth="1"/>
    <col min="7946" max="7946" width="2.109375" style="2684" customWidth="1"/>
    <col min="7947" max="7947" width="23.88671875" style="2684" customWidth="1"/>
    <col min="7948" max="7948" width="2.109375" style="2684" customWidth="1"/>
    <col min="7949" max="7949" width="23.88671875" style="2684" customWidth="1"/>
    <col min="7950" max="7950" width="2.109375" style="2684" customWidth="1"/>
    <col min="7951" max="7951" width="23.88671875" style="2684" customWidth="1"/>
    <col min="7952" max="7952" width="2.77734375" style="2684" bestFit="1" customWidth="1"/>
    <col min="7953" max="8191" width="8.88671875" style="2684"/>
    <col min="8192" max="8193" width="8.88671875" style="2684" customWidth="1"/>
    <col min="8194" max="8194" width="10.21875" style="2684" customWidth="1"/>
    <col min="8195" max="8195" width="2.21875" style="2684" customWidth="1"/>
    <col min="8196" max="8196" width="50.44140625" style="2684" customWidth="1"/>
    <col min="8197" max="8197" width="8.88671875" style="2684"/>
    <col min="8198" max="8198" width="2.109375" style="2684" customWidth="1"/>
    <col min="8199" max="8199" width="23.88671875" style="2684" customWidth="1"/>
    <col min="8200" max="8200" width="2.109375" style="2684" customWidth="1"/>
    <col min="8201" max="8201" width="23.88671875" style="2684" customWidth="1"/>
    <col min="8202" max="8202" width="2.109375" style="2684" customWidth="1"/>
    <col min="8203" max="8203" width="23.88671875" style="2684" customWidth="1"/>
    <col min="8204" max="8204" width="2.109375" style="2684" customWidth="1"/>
    <col min="8205" max="8205" width="23.88671875" style="2684" customWidth="1"/>
    <col min="8206" max="8206" width="2.109375" style="2684" customWidth="1"/>
    <col min="8207" max="8207" width="23.88671875" style="2684" customWidth="1"/>
    <col min="8208" max="8208" width="2.77734375" style="2684" bestFit="1" customWidth="1"/>
    <col min="8209" max="8447" width="8.88671875" style="2684"/>
    <col min="8448" max="8449" width="8.88671875" style="2684" customWidth="1"/>
    <col min="8450" max="8450" width="10.21875" style="2684" customWidth="1"/>
    <col min="8451" max="8451" width="2.21875" style="2684" customWidth="1"/>
    <col min="8452" max="8452" width="50.44140625" style="2684" customWidth="1"/>
    <col min="8453" max="8453" width="8.88671875" style="2684"/>
    <col min="8454" max="8454" width="2.109375" style="2684" customWidth="1"/>
    <col min="8455" max="8455" width="23.88671875" style="2684" customWidth="1"/>
    <col min="8456" max="8456" width="2.109375" style="2684" customWidth="1"/>
    <col min="8457" max="8457" width="23.88671875" style="2684" customWidth="1"/>
    <col min="8458" max="8458" width="2.109375" style="2684" customWidth="1"/>
    <col min="8459" max="8459" width="23.88671875" style="2684" customWidth="1"/>
    <col min="8460" max="8460" width="2.109375" style="2684" customWidth="1"/>
    <col min="8461" max="8461" width="23.88671875" style="2684" customWidth="1"/>
    <col min="8462" max="8462" width="2.109375" style="2684" customWidth="1"/>
    <col min="8463" max="8463" width="23.88671875" style="2684" customWidth="1"/>
    <col min="8464" max="8464" width="2.77734375" style="2684" bestFit="1" customWidth="1"/>
    <col min="8465" max="8703" width="8.88671875" style="2684"/>
    <col min="8704" max="8705" width="8.88671875" style="2684" customWidth="1"/>
    <col min="8706" max="8706" width="10.21875" style="2684" customWidth="1"/>
    <col min="8707" max="8707" width="2.21875" style="2684" customWidth="1"/>
    <col min="8708" max="8708" width="50.44140625" style="2684" customWidth="1"/>
    <col min="8709" max="8709" width="8.88671875" style="2684"/>
    <col min="8710" max="8710" width="2.109375" style="2684" customWidth="1"/>
    <col min="8711" max="8711" width="23.88671875" style="2684" customWidth="1"/>
    <col min="8712" max="8712" width="2.109375" style="2684" customWidth="1"/>
    <col min="8713" max="8713" width="23.88671875" style="2684" customWidth="1"/>
    <col min="8714" max="8714" width="2.109375" style="2684" customWidth="1"/>
    <col min="8715" max="8715" width="23.88671875" style="2684" customWidth="1"/>
    <col min="8716" max="8716" width="2.109375" style="2684" customWidth="1"/>
    <col min="8717" max="8717" width="23.88671875" style="2684" customWidth="1"/>
    <col min="8718" max="8718" width="2.109375" style="2684" customWidth="1"/>
    <col min="8719" max="8719" width="23.88671875" style="2684" customWidth="1"/>
    <col min="8720" max="8720" width="2.77734375" style="2684" bestFit="1" customWidth="1"/>
    <col min="8721" max="8959" width="8.88671875" style="2684"/>
    <col min="8960" max="8961" width="8.88671875" style="2684" customWidth="1"/>
    <col min="8962" max="8962" width="10.21875" style="2684" customWidth="1"/>
    <col min="8963" max="8963" width="2.21875" style="2684" customWidth="1"/>
    <col min="8964" max="8964" width="50.44140625" style="2684" customWidth="1"/>
    <col min="8965" max="8965" width="8.88671875" style="2684"/>
    <col min="8966" max="8966" width="2.109375" style="2684" customWidth="1"/>
    <col min="8967" max="8967" width="23.88671875" style="2684" customWidth="1"/>
    <col min="8968" max="8968" width="2.109375" style="2684" customWidth="1"/>
    <col min="8969" max="8969" width="23.88671875" style="2684" customWidth="1"/>
    <col min="8970" max="8970" width="2.109375" style="2684" customWidth="1"/>
    <col min="8971" max="8971" width="23.88671875" style="2684" customWidth="1"/>
    <col min="8972" max="8972" width="2.109375" style="2684" customWidth="1"/>
    <col min="8973" max="8973" width="23.88671875" style="2684" customWidth="1"/>
    <col min="8974" max="8974" width="2.109375" style="2684" customWidth="1"/>
    <col min="8975" max="8975" width="23.88671875" style="2684" customWidth="1"/>
    <col min="8976" max="8976" width="2.77734375" style="2684" bestFit="1" customWidth="1"/>
    <col min="8977" max="9215" width="8.88671875" style="2684"/>
    <col min="9216" max="9217" width="8.88671875" style="2684" customWidth="1"/>
    <col min="9218" max="9218" width="10.21875" style="2684" customWidth="1"/>
    <col min="9219" max="9219" width="2.21875" style="2684" customWidth="1"/>
    <col min="9220" max="9220" width="50.44140625" style="2684" customWidth="1"/>
    <col min="9221" max="9221" width="8.88671875" style="2684"/>
    <col min="9222" max="9222" width="2.109375" style="2684" customWidth="1"/>
    <col min="9223" max="9223" width="23.88671875" style="2684" customWidth="1"/>
    <col min="9224" max="9224" width="2.109375" style="2684" customWidth="1"/>
    <col min="9225" max="9225" width="23.88671875" style="2684" customWidth="1"/>
    <col min="9226" max="9226" width="2.109375" style="2684" customWidth="1"/>
    <col min="9227" max="9227" width="23.88671875" style="2684" customWidth="1"/>
    <col min="9228" max="9228" width="2.109375" style="2684" customWidth="1"/>
    <col min="9229" max="9229" width="23.88671875" style="2684" customWidth="1"/>
    <col min="9230" max="9230" width="2.109375" style="2684" customWidth="1"/>
    <col min="9231" max="9231" width="23.88671875" style="2684" customWidth="1"/>
    <col min="9232" max="9232" width="2.77734375" style="2684" bestFit="1" customWidth="1"/>
    <col min="9233" max="9471" width="8.88671875" style="2684"/>
    <col min="9472" max="9473" width="8.88671875" style="2684" customWidth="1"/>
    <col min="9474" max="9474" width="10.21875" style="2684" customWidth="1"/>
    <col min="9475" max="9475" width="2.21875" style="2684" customWidth="1"/>
    <col min="9476" max="9476" width="50.44140625" style="2684" customWidth="1"/>
    <col min="9477" max="9477" width="8.88671875" style="2684"/>
    <col min="9478" max="9478" width="2.109375" style="2684" customWidth="1"/>
    <col min="9479" max="9479" width="23.88671875" style="2684" customWidth="1"/>
    <col min="9480" max="9480" width="2.109375" style="2684" customWidth="1"/>
    <col min="9481" max="9481" width="23.88671875" style="2684" customWidth="1"/>
    <col min="9482" max="9482" width="2.109375" style="2684" customWidth="1"/>
    <col min="9483" max="9483" width="23.88671875" style="2684" customWidth="1"/>
    <col min="9484" max="9484" width="2.109375" style="2684" customWidth="1"/>
    <col min="9485" max="9485" width="23.88671875" style="2684" customWidth="1"/>
    <col min="9486" max="9486" width="2.109375" style="2684" customWidth="1"/>
    <col min="9487" max="9487" width="23.88671875" style="2684" customWidth="1"/>
    <col min="9488" max="9488" width="2.77734375" style="2684" bestFit="1" customWidth="1"/>
    <col min="9489" max="9727" width="8.88671875" style="2684"/>
    <col min="9728" max="9729" width="8.88671875" style="2684" customWidth="1"/>
    <col min="9730" max="9730" width="10.21875" style="2684" customWidth="1"/>
    <col min="9731" max="9731" width="2.21875" style="2684" customWidth="1"/>
    <col min="9732" max="9732" width="50.44140625" style="2684" customWidth="1"/>
    <col min="9733" max="9733" width="8.88671875" style="2684"/>
    <col min="9734" max="9734" width="2.109375" style="2684" customWidth="1"/>
    <col min="9735" max="9735" width="23.88671875" style="2684" customWidth="1"/>
    <col min="9736" max="9736" width="2.109375" style="2684" customWidth="1"/>
    <col min="9737" max="9737" width="23.88671875" style="2684" customWidth="1"/>
    <col min="9738" max="9738" width="2.109375" style="2684" customWidth="1"/>
    <col min="9739" max="9739" width="23.88671875" style="2684" customWidth="1"/>
    <col min="9740" max="9740" width="2.109375" style="2684" customWidth="1"/>
    <col min="9741" max="9741" width="23.88671875" style="2684" customWidth="1"/>
    <col min="9742" max="9742" width="2.109375" style="2684" customWidth="1"/>
    <col min="9743" max="9743" width="23.88671875" style="2684" customWidth="1"/>
    <col min="9744" max="9744" width="2.77734375" style="2684" bestFit="1" customWidth="1"/>
    <col min="9745" max="9983" width="8.88671875" style="2684"/>
    <col min="9984" max="9985" width="8.88671875" style="2684" customWidth="1"/>
    <col min="9986" max="9986" width="10.21875" style="2684" customWidth="1"/>
    <col min="9987" max="9987" width="2.21875" style="2684" customWidth="1"/>
    <col min="9988" max="9988" width="50.44140625" style="2684" customWidth="1"/>
    <col min="9989" max="9989" width="8.88671875" style="2684"/>
    <col min="9990" max="9990" width="2.109375" style="2684" customWidth="1"/>
    <col min="9991" max="9991" width="23.88671875" style="2684" customWidth="1"/>
    <col min="9992" max="9992" width="2.109375" style="2684" customWidth="1"/>
    <col min="9993" max="9993" width="23.88671875" style="2684" customWidth="1"/>
    <col min="9994" max="9994" width="2.109375" style="2684" customWidth="1"/>
    <col min="9995" max="9995" width="23.88671875" style="2684" customWidth="1"/>
    <col min="9996" max="9996" width="2.109375" style="2684" customWidth="1"/>
    <col min="9997" max="9997" width="23.88671875" style="2684" customWidth="1"/>
    <col min="9998" max="9998" width="2.109375" style="2684" customWidth="1"/>
    <col min="9999" max="9999" width="23.88671875" style="2684" customWidth="1"/>
    <col min="10000" max="10000" width="2.77734375" style="2684" bestFit="1" customWidth="1"/>
    <col min="10001" max="10239" width="8.88671875" style="2684"/>
    <col min="10240" max="10241" width="8.88671875" style="2684" customWidth="1"/>
    <col min="10242" max="10242" width="10.21875" style="2684" customWidth="1"/>
    <col min="10243" max="10243" width="2.21875" style="2684" customWidth="1"/>
    <col min="10244" max="10244" width="50.44140625" style="2684" customWidth="1"/>
    <col min="10245" max="10245" width="8.88671875" style="2684"/>
    <col min="10246" max="10246" width="2.109375" style="2684" customWidth="1"/>
    <col min="10247" max="10247" width="23.88671875" style="2684" customWidth="1"/>
    <col min="10248" max="10248" width="2.109375" style="2684" customWidth="1"/>
    <col min="10249" max="10249" width="23.88671875" style="2684" customWidth="1"/>
    <col min="10250" max="10250" width="2.109375" style="2684" customWidth="1"/>
    <col min="10251" max="10251" width="23.88671875" style="2684" customWidth="1"/>
    <col min="10252" max="10252" width="2.109375" style="2684" customWidth="1"/>
    <col min="10253" max="10253" width="23.88671875" style="2684" customWidth="1"/>
    <col min="10254" max="10254" width="2.109375" style="2684" customWidth="1"/>
    <col min="10255" max="10255" width="23.88671875" style="2684" customWidth="1"/>
    <col min="10256" max="10256" width="2.77734375" style="2684" bestFit="1" customWidth="1"/>
    <col min="10257" max="10495" width="8.88671875" style="2684"/>
    <col min="10496" max="10497" width="8.88671875" style="2684" customWidth="1"/>
    <col min="10498" max="10498" width="10.21875" style="2684" customWidth="1"/>
    <col min="10499" max="10499" width="2.21875" style="2684" customWidth="1"/>
    <col min="10500" max="10500" width="50.44140625" style="2684" customWidth="1"/>
    <col min="10501" max="10501" width="8.88671875" style="2684"/>
    <col min="10502" max="10502" width="2.109375" style="2684" customWidth="1"/>
    <col min="10503" max="10503" width="23.88671875" style="2684" customWidth="1"/>
    <col min="10504" max="10504" width="2.109375" style="2684" customWidth="1"/>
    <col min="10505" max="10505" width="23.88671875" style="2684" customWidth="1"/>
    <col min="10506" max="10506" width="2.109375" style="2684" customWidth="1"/>
    <col min="10507" max="10507" width="23.88671875" style="2684" customWidth="1"/>
    <col min="10508" max="10508" width="2.109375" style="2684" customWidth="1"/>
    <col min="10509" max="10509" width="23.88671875" style="2684" customWidth="1"/>
    <col min="10510" max="10510" width="2.109375" style="2684" customWidth="1"/>
    <col min="10511" max="10511" width="23.88671875" style="2684" customWidth="1"/>
    <col min="10512" max="10512" width="2.77734375" style="2684" bestFit="1" customWidth="1"/>
    <col min="10513" max="10751" width="8.88671875" style="2684"/>
    <col min="10752" max="10753" width="8.88671875" style="2684" customWidth="1"/>
    <col min="10754" max="10754" width="10.21875" style="2684" customWidth="1"/>
    <col min="10755" max="10755" width="2.21875" style="2684" customWidth="1"/>
    <col min="10756" max="10756" width="50.44140625" style="2684" customWidth="1"/>
    <col min="10757" max="10757" width="8.88671875" style="2684"/>
    <col min="10758" max="10758" width="2.109375" style="2684" customWidth="1"/>
    <col min="10759" max="10759" width="23.88671875" style="2684" customWidth="1"/>
    <col min="10760" max="10760" width="2.109375" style="2684" customWidth="1"/>
    <col min="10761" max="10761" width="23.88671875" style="2684" customWidth="1"/>
    <col min="10762" max="10762" width="2.109375" style="2684" customWidth="1"/>
    <col min="10763" max="10763" width="23.88671875" style="2684" customWidth="1"/>
    <col min="10764" max="10764" width="2.109375" style="2684" customWidth="1"/>
    <col min="10765" max="10765" width="23.88671875" style="2684" customWidth="1"/>
    <col min="10766" max="10766" width="2.109375" style="2684" customWidth="1"/>
    <col min="10767" max="10767" width="23.88671875" style="2684" customWidth="1"/>
    <col min="10768" max="10768" width="2.77734375" style="2684" bestFit="1" customWidth="1"/>
    <col min="10769" max="11007" width="8.88671875" style="2684"/>
    <col min="11008" max="11009" width="8.88671875" style="2684" customWidth="1"/>
    <col min="11010" max="11010" width="10.21875" style="2684" customWidth="1"/>
    <col min="11011" max="11011" width="2.21875" style="2684" customWidth="1"/>
    <col min="11012" max="11012" width="50.44140625" style="2684" customWidth="1"/>
    <col min="11013" max="11013" width="8.88671875" style="2684"/>
    <col min="11014" max="11014" width="2.109375" style="2684" customWidth="1"/>
    <col min="11015" max="11015" width="23.88671875" style="2684" customWidth="1"/>
    <col min="11016" max="11016" width="2.109375" style="2684" customWidth="1"/>
    <col min="11017" max="11017" width="23.88671875" style="2684" customWidth="1"/>
    <col min="11018" max="11018" width="2.109375" style="2684" customWidth="1"/>
    <col min="11019" max="11019" width="23.88671875" style="2684" customWidth="1"/>
    <col min="11020" max="11020" width="2.109375" style="2684" customWidth="1"/>
    <col min="11021" max="11021" width="23.88671875" style="2684" customWidth="1"/>
    <col min="11022" max="11022" width="2.109375" style="2684" customWidth="1"/>
    <col min="11023" max="11023" width="23.88671875" style="2684" customWidth="1"/>
    <col min="11024" max="11024" width="2.77734375" style="2684" bestFit="1" customWidth="1"/>
    <col min="11025" max="11263" width="8.88671875" style="2684"/>
    <col min="11264" max="11265" width="8.88671875" style="2684" customWidth="1"/>
    <col min="11266" max="11266" width="10.21875" style="2684" customWidth="1"/>
    <col min="11267" max="11267" width="2.21875" style="2684" customWidth="1"/>
    <col min="11268" max="11268" width="50.44140625" style="2684" customWidth="1"/>
    <col min="11269" max="11269" width="8.88671875" style="2684"/>
    <col min="11270" max="11270" width="2.109375" style="2684" customWidth="1"/>
    <col min="11271" max="11271" width="23.88671875" style="2684" customWidth="1"/>
    <col min="11272" max="11272" width="2.109375" style="2684" customWidth="1"/>
    <col min="11273" max="11273" width="23.88671875" style="2684" customWidth="1"/>
    <col min="11274" max="11274" width="2.109375" style="2684" customWidth="1"/>
    <col min="11275" max="11275" width="23.88671875" style="2684" customWidth="1"/>
    <col min="11276" max="11276" width="2.109375" style="2684" customWidth="1"/>
    <col min="11277" max="11277" width="23.88671875" style="2684" customWidth="1"/>
    <col min="11278" max="11278" width="2.109375" style="2684" customWidth="1"/>
    <col min="11279" max="11279" width="23.88671875" style="2684" customWidth="1"/>
    <col min="11280" max="11280" width="2.77734375" style="2684" bestFit="1" customWidth="1"/>
    <col min="11281" max="11519" width="8.88671875" style="2684"/>
    <col min="11520" max="11521" width="8.88671875" style="2684" customWidth="1"/>
    <col min="11522" max="11522" width="10.21875" style="2684" customWidth="1"/>
    <col min="11523" max="11523" width="2.21875" style="2684" customWidth="1"/>
    <col min="11524" max="11524" width="50.44140625" style="2684" customWidth="1"/>
    <col min="11525" max="11525" width="8.88671875" style="2684"/>
    <col min="11526" max="11526" width="2.109375" style="2684" customWidth="1"/>
    <col min="11527" max="11527" width="23.88671875" style="2684" customWidth="1"/>
    <col min="11528" max="11528" width="2.109375" style="2684" customWidth="1"/>
    <col min="11529" max="11529" width="23.88671875" style="2684" customWidth="1"/>
    <col min="11530" max="11530" width="2.109375" style="2684" customWidth="1"/>
    <col min="11531" max="11531" width="23.88671875" style="2684" customWidth="1"/>
    <col min="11532" max="11532" width="2.109375" style="2684" customWidth="1"/>
    <col min="11533" max="11533" width="23.88671875" style="2684" customWidth="1"/>
    <col min="11534" max="11534" width="2.109375" style="2684" customWidth="1"/>
    <col min="11535" max="11535" width="23.88671875" style="2684" customWidth="1"/>
    <col min="11536" max="11536" width="2.77734375" style="2684" bestFit="1" customWidth="1"/>
    <col min="11537" max="11775" width="8.88671875" style="2684"/>
    <col min="11776" max="11777" width="8.88671875" style="2684" customWidth="1"/>
    <col min="11778" max="11778" width="10.21875" style="2684" customWidth="1"/>
    <col min="11779" max="11779" width="2.21875" style="2684" customWidth="1"/>
    <col min="11780" max="11780" width="50.44140625" style="2684" customWidth="1"/>
    <col min="11781" max="11781" width="8.88671875" style="2684"/>
    <col min="11782" max="11782" width="2.109375" style="2684" customWidth="1"/>
    <col min="11783" max="11783" width="23.88671875" style="2684" customWidth="1"/>
    <col min="11784" max="11784" width="2.109375" style="2684" customWidth="1"/>
    <col min="11785" max="11785" width="23.88671875" style="2684" customWidth="1"/>
    <col min="11786" max="11786" width="2.109375" style="2684" customWidth="1"/>
    <col min="11787" max="11787" width="23.88671875" style="2684" customWidth="1"/>
    <col min="11788" max="11788" width="2.109375" style="2684" customWidth="1"/>
    <col min="11789" max="11789" width="23.88671875" style="2684" customWidth="1"/>
    <col min="11790" max="11790" width="2.109375" style="2684" customWidth="1"/>
    <col min="11791" max="11791" width="23.88671875" style="2684" customWidth="1"/>
    <col min="11792" max="11792" width="2.77734375" style="2684" bestFit="1" customWidth="1"/>
    <col min="11793" max="12031" width="8.88671875" style="2684"/>
    <col min="12032" max="12033" width="8.88671875" style="2684" customWidth="1"/>
    <col min="12034" max="12034" width="10.21875" style="2684" customWidth="1"/>
    <col min="12035" max="12035" width="2.21875" style="2684" customWidth="1"/>
    <col min="12036" max="12036" width="50.44140625" style="2684" customWidth="1"/>
    <col min="12037" max="12037" width="8.88671875" style="2684"/>
    <col min="12038" max="12038" width="2.109375" style="2684" customWidth="1"/>
    <col min="12039" max="12039" width="23.88671875" style="2684" customWidth="1"/>
    <col min="12040" max="12040" width="2.109375" style="2684" customWidth="1"/>
    <col min="12041" max="12041" width="23.88671875" style="2684" customWidth="1"/>
    <col min="12042" max="12042" width="2.109375" style="2684" customWidth="1"/>
    <col min="12043" max="12043" width="23.88671875" style="2684" customWidth="1"/>
    <col min="12044" max="12044" width="2.109375" style="2684" customWidth="1"/>
    <col min="12045" max="12045" width="23.88671875" style="2684" customWidth="1"/>
    <col min="12046" max="12046" width="2.109375" style="2684" customWidth="1"/>
    <col min="12047" max="12047" width="23.88671875" style="2684" customWidth="1"/>
    <col min="12048" max="12048" width="2.77734375" style="2684" bestFit="1" customWidth="1"/>
    <col min="12049" max="12287" width="8.88671875" style="2684"/>
    <col min="12288" max="12289" width="8.88671875" style="2684" customWidth="1"/>
    <col min="12290" max="12290" width="10.21875" style="2684" customWidth="1"/>
    <col min="12291" max="12291" width="2.21875" style="2684" customWidth="1"/>
    <col min="12292" max="12292" width="50.44140625" style="2684" customWidth="1"/>
    <col min="12293" max="12293" width="8.88671875" style="2684"/>
    <col min="12294" max="12294" width="2.109375" style="2684" customWidth="1"/>
    <col min="12295" max="12295" width="23.88671875" style="2684" customWidth="1"/>
    <col min="12296" max="12296" width="2.109375" style="2684" customWidth="1"/>
    <col min="12297" max="12297" width="23.88671875" style="2684" customWidth="1"/>
    <col min="12298" max="12298" width="2.109375" style="2684" customWidth="1"/>
    <col min="12299" max="12299" width="23.88671875" style="2684" customWidth="1"/>
    <col min="12300" max="12300" width="2.109375" style="2684" customWidth="1"/>
    <col min="12301" max="12301" width="23.88671875" style="2684" customWidth="1"/>
    <col min="12302" max="12302" width="2.109375" style="2684" customWidth="1"/>
    <col min="12303" max="12303" width="23.88671875" style="2684" customWidth="1"/>
    <col min="12304" max="12304" width="2.77734375" style="2684" bestFit="1" customWidth="1"/>
    <col min="12305" max="12543" width="8.88671875" style="2684"/>
    <col min="12544" max="12545" width="8.88671875" style="2684" customWidth="1"/>
    <col min="12546" max="12546" width="10.21875" style="2684" customWidth="1"/>
    <col min="12547" max="12547" width="2.21875" style="2684" customWidth="1"/>
    <col min="12548" max="12548" width="50.44140625" style="2684" customWidth="1"/>
    <col min="12549" max="12549" width="8.88671875" style="2684"/>
    <col min="12550" max="12550" width="2.109375" style="2684" customWidth="1"/>
    <col min="12551" max="12551" width="23.88671875" style="2684" customWidth="1"/>
    <col min="12552" max="12552" width="2.109375" style="2684" customWidth="1"/>
    <col min="12553" max="12553" width="23.88671875" style="2684" customWidth="1"/>
    <col min="12554" max="12554" width="2.109375" style="2684" customWidth="1"/>
    <col min="12555" max="12555" width="23.88671875" style="2684" customWidth="1"/>
    <col min="12556" max="12556" width="2.109375" style="2684" customWidth="1"/>
    <col min="12557" max="12557" width="23.88671875" style="2684" customWidth="1"/>
    <col min="12558" max="12558" width="2.109375" style="2684" customWidth="1"/>
    <col min="12559" max="12559" width="23.88671875" style="2684" customWidth="1"/>
    <col min="12560" max="12560" width="2.77734375" style="2684" bestFit="1" customWidth="1"/>
    <col min="12561" max="12799" width="8.88671875" style="2684"/>
    <col min="12800" max="12801" width="8.88671875" style="2684" customWidth="1"/>
    <col min="12802" max="12802" width="10.21875" style="2684" customWidth="1"/>
    <col min="12803" max="12803" width="2.21875" style="2684" customWidth="1"/>
    <col min="12804" max="12804" width="50.44140625" style="2684" customWidth="1"/>
    <col min="12805" max="12805" width="8.88671875" style="2684"/>
    <col min="12806" max="12806" width="2.109375" style="2684" customWidth="1"/>
    <col min="12807" max="12807" width="23.88671875" style="2684" customWidth="1"/>
    <col min="12808" max="12808" width="2.109375" style="2684" customWidth="1"/>
    <col min="12809" max="12809" width="23.88671875" style="2684" customWidth="1"/>
    <col min="12810" max="12810" width="2.109375" style="2684" customWidth="1"/>
    <col min="12811" max="12811" width="23.88671875" style="2684" customWidth="1"/>
    <col min="12812" max="12812" width="2.109375" style="2684" customWidth="1"/>
    <col min="12813" max="12813" width="23.88671875" style="2684" customWidth="1"/>
    <col min="12814" max="12814" width="2.109375" style="2684" customWidth="1"/>
    <col min="12815" max="12815" width="23.88671875" style="2684" customWidth="1"/>
    <col min="12816" max="12816" width="2.77734375" style="2684" bestFit="1" customWidth="1"/>
    <col min="12817" max="13055" width="8.88671875" style="2684"/>
    <col min="13056" max="13057" width="8.88671875" style="2684" customWidth="1"/>
    <col min="13058" max="13058" width="10.21875" style="2684" customWidth="1"/>
    <col min="13059" max="13059" width="2.21875" style="2684" customWidth="1"/>
    <col min="13060" max="13060" width="50.44140625" style="2684" customWidth="1"/>
    <col min="13061" max="13061" width="8.88671875" style="2684"/>
    <col min="13062" max="13062" width="2.109375" style="2684" customWidth="1"/>
    <col min="13063" max="13063" width="23.88671875" style="2684" customWidth="1"/>
    <col min="13064" max="13064" width="2.109375" style="2684" customWidth="1"/>
    <col min="13065" max="13065" width="23.88671875" style="2684" customWidth="1"/>
    <col min="13066" max="13066" width="2.109375" style="2684" customWidth="1"/>
    <col min="13067" max="13067" width="23.88671875" style="2684" customWidth="1"/>
    <col min="13068" max="13068" width="2.109375" style="2684" customWidth="1"/>
    <col min="13069" max="13069" width="23.88671875" style="2684" customWidth="1"/>
    <col min="13070" max="13070" width="2.109375" style="2684" customWidth="1"/>
    <col min="13071" max="13071" width="23.88671875" style="2684" customWidth="1"/>
    <col min="13072" max="13072" width="2.77734375" style="2684" bestFit="1" customWidth="1"/>
    <col min="13073" max="13311" width="8.88671875" style="2684"/>
    <col min="13312" max="13313" width="8.88671875" style="2684" customWidth="1"/>
    <col min="13314" max="13314" width="10.21875" style="2684" customWidth="1"/>
    <col min="13315" max="13315" width="2.21875" style="2684" customWidth="1"/>
    <col min="13316" max="13316" width="50.44140625" style="2684" customWidth="1"/>
    <col min="13317" max="13317" width="8.88671875" style="2684"/>
    <col min="13318" max="13318" width="2.109375" style="2684" customWidth="1"/>
    <col min="13319" max="13319" width="23.88671875" style="2684" customWidth="1"/>
    <col min="13320" max="13320" width="2.109375" style="2684" customWidth="1"/>
    <col min="13321" max="13321" width="23.88671875" style="2684" customWidth="1"/>
    <col min="13322" max="13322" width="2.109375" style="2684" customWidth="1"/>
    <col min="13323" max="13323" width="23.88671875" style="2684" customWidth="1"/>
    <col min="13324" max="13324" width="2.109375" style="2684" customWidth="1"/>
    <col min="13325" max="13325" width="23.88671875" style="2684" customWidth="1"/>
    <col min="13326" max="13326" width="2.109375" style="2684" customWidth="1"/>
    <col min="13327" max="13327" width="23.88671875" style="2684" customWidth="1"/>
    <col min="13328" max="13328" width="2.77734375" style="2684" bestFit="1" customWidth="1"/>
    <col min="13329" max="13567" width="8.88671875" style="2684"/>
    <col min="13568" max="13569" width="8.88671875" style="2684" customWidth="1"/>
    <col min="13570" max="13570" width="10.21875" style="2684" customWidth="1"/>
    <col min="13571" max="13571" width="2.21875" style="2684" customWidth="1"/>
    <col min="13572" max="13572" width="50.44140625" style="2684" customWidth="1"/>
    <col min="13573" max="13573" width="8.88671875" style="2684"/>
    <col min="13574" max="13574" width="2.109375" style="2684" customWidth="1"/>
    <col min="13575" max="13575" width="23.88671875" style="2684" customWidth="1"/>
    <col min="13576" max="13576" width="2.109375" style="2684" customWidth="1"/>
    <col min="13577" max="13577" width="23.88671875" style="2684" customWidth="1"/>
    <col min="13578" max="13578" width="2.109375" style="2684" customWidth="1"/>
    <col min="13579" max="13579" width="23.88671875" style="2684" customWidth="1"/>
    <col min="13580" max="13580" width="2.109375" style="2684" customWidth="1"/>
    <col min="13581" max="13581" width="23.88671875" style="2684" customWidth="1"/>
    <col min="13582" max="13582" width="2.109375" style="2684" customWidth="1"/>
    <col min="13583" max="13583" width="23.88671875" style="2684" customWidth="1"/>
    <col min="13584" max="13584" width="2.77734375" style="2684" bestFit="1" customWidth="1"/>
    <col min="13585" max="13823" width="8.88671875" style="2684"/>
    <col min="13824" max="13825" width="8.88671875" style="2684" customWidth="1"/>
    <col min="13826" max="13826" width="10.21875" style="2684" customWidth="1"/>
    <col min="13827" max="13827" width="2.21875" style="2684" customWidth="1"/>
    <col min="13828" max="13828" width="50.44140625" style="2684" customWidth="1"/>
    <col min="13829" max="13829" width="8.88671875" style="2684"/>
    <col min="13830" max="13830" width="2.109375" style="2684" customWidth="1"/>
    <col min="13831" max="13831" width="23.88671875" style="2684" customWidth="1"/>
    <col min="13832" max="13832" width="2.109375" style="2684" customWidth="1"/>
    <col min="13833" max="13833" width="23.88671875" style="2684" customWidth="1"/>
    <col min="13834" max="13834" width="2.109375" style="2684" customWidth="1"/>
    <col min="13835" max="13835" width="23.88671875" style="2684" customWidth="1"/>
    <col min="13836" max="13836" width="2.109375" style="2684" customWidth="1"/>
    <col min="13837" max="13837" width="23.88671875" style="2684" customWidth="1"/>
    <col min="13838" max="13838" width="2.109375" style="2684" customWidth="1"/>
    <col min="13839" max="13839" width="23.88671875" style="2684" customWidth="1"/>
    <col min="13840" max="13840" width="2.77734375" style="2684" bestFit="1" customWidth="1"/>
    <col min="13841" max="14079" width="8.88671875" style="2684"/>
    <col min="14080" max="14081" width="8.88671875" style="2684" customWidth="1"/>
    <col min="14082" max="14082" width="10.21875" style="2684" customWidth="1"/>
    <col min="14083" max="14083" width="2.21875" style="2684" customWidth="1"/>
    <col min="14084" max="14084" width="50.44140625" style="2684" customWidth="1"/>
    <col min="14085" max="14085" width="8.88671875" style="2684"/>
    <col min="14086" max="14086" width="2.109375" style="2684" customWidth="1"/>
    <col min="14087" max="14087" width="23.88671875" style="2684" customWidth="1"/>
    <col min="14088" max="14088" width="2.109375" style="2684" customWidth="1"/>
    <col min="14089" max="14089" width="23.88671875" style="2684" customWidth="1"/>
    <col min="14090" max="14090" width="2.109375" style="2684" customWidth="1"/>
    <col min="14091" max="14091" width="23.88671875" style="2684" customWidth="1"/>
    <col min="14092" max="14092" width="2.109375" style="2684" customWidth="1"/>
    <col min="14093" max="14093" width="23.88671875" style="2684" customWidth="1"/>
    <col min="14094" max="14094" width="2.109375" style="2684" customWidth="1"/>
    <col min="14095" max="14095" width="23.88671875" style="2684" customWidth="1"/>
    <col min="14096" max="14096" width="2.77734375" style="2684" bestFit="1" customWidth="1"/>
    <col min="14097" max="14335" width="8.88671875" style="2684"/>
    <col min="14336" max="14337" width="8.88671875" style="2684" customWidth="1"/>
    <col min="14338" max="14338" width="10.21875" style="2684" customWidth="1"/>
    <col min="14339" max="14339" width="2.21875" style="2684" customWidth="1"/>
    <col min="14340" max="14340" width="50.44140625" style="2684" customWidth="1"/>
    <col min="14341" max="14341" width="8.88671875" style="2684"/>
    <col min="14342" max="14342" width="2.109375" style="2684" customWidth="1"/>
    <col min="14343" max="14343" width="23.88671875" style="2684" customWidth="1"/>
    <col min="14344" max="14344" width="2.109375" style="2684" customWidth="1"/>
    <col min="14345" max="14345" width="23.88671875" style="2684" customWidth="1"/>
    <col min="14346" max="14346" width="2.109375" style="2684" customWidth="1"/>
    <col min="14347" max="14347" width="23.88671875" style="2684" customWidth="1"/>
    <col min="14348" max="14348" width="2.109375" style="2684" customWidth="1"/>
    <col min="14349" max="14349" width="23.88671875" style="2684" customWidth="1"/>
    <col min="14350" max="14350" width="2.109375" style="2684" customWidth="1"/>
    <col min="14351" max="14351" width="23.88671875" style="2684" customWidth="1"/>
    <col min="14352" max="14352" width="2.77734375" style="2684" bestFit="1" customWidth="1"/>
    <col min="14353" max="14591" width="8.88671875" style="2684"/>
    <col min="14592" max="14593" width="8.88671875" style="2684" customWidth="1"/>
    <col min="14594" max="14594" width="10.21875" style="2684" customWidth="1"/>
    <col min="14595" max="14595" width="2.21875" style="2684" customWidth="1"/>
    <col min="14596" max="14596" width="50.44140625" style="2684" customWidth="1"/>
    <col min="14597" max="14597" width="8.88671875" style="2684"/>
    <col min="14598" max="14598" width="2.109375" style="2684" customWidth="1"/>
    <col min="14599" max="14599" width="23.88671875" style="2684" customWidth="1"/>
    <col min="14600" max="14600" width="2.109375" style="2684" customWidth="1"/>
    <col min="14601" max="14601" width="23.88671875" style="2684" customWidth="1"/>
    <col min="14602" max="14602" width="2.109375" style="2684" customWidth="1"/>
    <col min="14603" max="14603" width="23.88671875" style="2684" customWidth="1"/>
    <col min="14604" max="14604" width="2.109375" style="2684" customWidth="1"/>
    <col min="14605" max="14605" width="23.88671875" style="2684" customWidth="1"/>
    <col min="14606" max="14606" width="2.109375" style="2684" customWidth="1"/>
    <col min="14607" max="14607" width="23.88671875" style="2684" customWidth="1"/>
    <col min="14608" max="14608" width="2.77734375" style="2684" bestFit="1" customWidth="1"/>
    <col min="14609" max="14847" width="8.88671875" style="2684"/>
    <col min="14848" max="14849" width="8.88671875" style="2684" customWidth="1"/>
    <col min="14850" max="14850" width="10.21875" style="2684" customWidth="1"/>
    <col min="14851" max="14851" width="2.21875" style="2684" customWidth="1"/>
    <col min="14852" max="14852" width="50.44140625" style="2684" customWidth="1"/>
    <col min="14853" max="14853" width="8.88671875" style="2684"/>
    <col min="14854" max="14854" width="2.109375" style="2684" customWidth="1"/>
    <col min="14855" max="14855" width="23.88671875" style="2684" customWidth="1"/>
    <col min="14856" max="14856" width="2.109375" style="2684" customWidth="1"/>
    <col min="14857" max="14857" width="23.88671875" style="2684" customWidth="1"/>
    <col min="14858" max="14858" width="2.109375" style="2684" customWidth="1"/>
    <col min="14859" max="14859" width="23.88671875" style="2684" customWidth="1"/>
    <col min="14860" max="14860" width="2.109375" style="2684" customWidth="1"/>
    <col min="14861" max="14861" width="23.88671875" style="2684" customWidth="1"/>
    <col min="14862" max="14862" width="2.109375" style="2684" customWidth="1"/>
    <col min="14863" max="14863" width="23.88671875" style="2684" customWidth="1"/>
    <col min="14864" max="14864" width="2.77734375" style="2684" bestFit="1" customWidth="1"/>
    <col min="14865" max="15103" width="8.88671875" style="2684"/>
    <col min="15104" max="15105" width="8.88671875" style="2684" customWidth="1"/>
    <col min="15106" max="15106" width="10.21875" style="2684" customWidth="1"/>
    <col min="15107" max="15107" width="2.21875" style="2684" customWidth="1"/>
    <col min="15108" max="15108" width="50.44140625" style="2684" customWidth="1"/>
    <col min="15109" max="15109" width="8.88671875" style="2684"/>
    <col min="15110" max="15110" width="2.109375" style="2684" customWidth="1"/>
    <col min="15111" max="15111" width="23.88671875" style="2684" customWidth="1"/>
    <col min="15112" max="15112" width="2.109375" style="2684" customWidth="1"/>
    <col min="15113" max="15113" width="23.88671875" style="2684" customWidth="1"/>
    <col min="15114" max="15114" width="2.109375" style="2684" customWidth="1"/>
    <col min="15115" max="15115" width="23.88671875" style="2684" customWidth="1"/>
    <col min="15116" max="15116" width="2.109375" style="2684" customWidth="1"/>
    <col min="15117" max="15117" width="23.88671875" style="2684" customWidth="1"/>
    <col min="15118" max="15118" width="2.109375" style="2684" customWidth="1"/>
    <col min="15119" max="15119" width="23.88671875" style="2684" customWidth="1"/>
    <col min="15120" max="15120" width="2.77734375" style="2684" bestFit="1" customWidth="1"/>
    <col min="15121" max="15359" width="8.88671875" style="2684"/>
    <col min="15360" max="15361" width="8.88671875" style="2684" customWidth="1"/>
    <col min="15362" max="15362" width="10.21875" style="2684" customWidth="1"/>
    <col min="15363" max="15363" width="2.21875" style="2684" customWidth="1"/>
    <col min="15364" max="15364" width="50.44140625" style="2684" customWidth="1"/>
    <col min="15365" max="15365" width="8.88671875" style="2684"/>
    <col min="15366" max="15366" width="2.109375" style="2684" customWidth="1"/>
    <col min="15367" max="15367" width="23.88671875" style="2684" customWidth="1"/>
    <col min="15368" max="15368" width="2.109375" style="2684" customWidth="1"/>
    <col min="15369" max="15369" width="23.88671875" style="2684" customWidth="1"/>
    <col min="15370" max="15370" width="2.109375" style="2684" customWidth="1"/>
    <col min="15371" max="15371" width="23.88671875" style="2684" customWidth="1"/>
    <col min="15372" max="15372" width="2.109375" style="2684" customWidth="1"/>
    <col min="15373" max="15373" width="23.88671875" style="2684" customWidth="1"/>
    <col min="15374" max="15374" width="2.109375" style="2684" customWidth="1"/>
    <col min="15375" max="15375" width="23.88671875" style="2684" customWidth="1"/>
    <col min="15376" max="15376" width="2.77734375" style="2684" bestFit="1" customWidth="1"/>
    <col min="15377" max="15615" width="8.88671875" style="2684"/>
    <col min="15616" max="15617" width="8.88671875" style="2684" customWidth="1"/>
    <col min="15618" max="15618" width="10.21875" style="2684" customWidth="1"/>
    <col min="15619" max="15619" width="2.21875" style="2684" customWidth="1"/>
    <col min="15620" max="15620" width="50.44140625" style="2684" customWidth="1"/>
    <col min="15621" max="15621" width="8.88671875" style="2684"/>
    <col min="15622" max="15622" width="2.109375" style="2684" customWidth="1"/>
    <col min="15623" max="15623" width="23.88671875" style="2684" customWidth="1"/>
    <col min="15624" max="15624" width="2.109375" style="2684" customWidth="1"/>
    <col min="15625" max="15625" width="23.88671875" style="2684" customWidth="1"/>
    <col min="15626" max="15626" width="2.109375" style="2684" customWidth="1"/>
    <col min="15627" max="15627" width="23.88671875" style="2684" customWidth="1"/>
    <col min="15628" max="15628" width="2.109375" style="2684" customWidth="1"/>
    <col min="15629" max="15629" width="23.88671875" style="2684" customWidth="1"/>
    <col min="15630" max="15630" width="2.109375" style="2684" customWidth="1"/>
    <col min="15631" max="15631" width="23.88671875" style="2684" customWidth="1"/>
    <col min="15632" max="15632" width="2.77734375" style="2684" bestFit="1" customWidth="1"/>
    <col min="15633" max="15871" width="8.88671875" style="2684"/>
    <col min="15872" max="15873" width="8.88671875" style="2684" customWidth="1"/>
    <col min="15874" max="15874" width="10.21875" style="2684" customWidth="1"/>
    <col min="15875" max="15875" width="2.21875" style="2684" customWidth="1"/>
    <col min="15876" max="15876" width="50.44140625" style="2684" customWidth="1"/>
    <col min="15877" max="15877" width="8.88671875" style="2684"/>
    <col min="15878" max="15878" width="2.109375" style="2684" customWidth="1"/>
    <col min="15879" max="15879" width="23.88671875" style="2684" customWidth="1"/>
    <col min="15880" max="15880" width="2.109375" style="2684" customWidth="1"/>
    <col min="15881" max="15881" width="23.88671875" style="2684" customWidth="1"/>
    <col min="15882" max="15882" width="2.109375" style="2684" customWidth="1"/>
    <col min="15883" max="15883" width="23.88671875" style="2684" customWidth="1"/>
    <col min="15884" max="15884" width="2.109375" style="2684" customWidth="1"/>
    <col min="15885" max="15885" width="23.88671875" style="2684" customWidth="1"/>
    <col min="15886" max="15886" width="2.109375" style="2684" customWidth="1"/>
    <col min="15887" max="15887" width="23.88671875" style="2684" customWidth="1"/>
    <col min="15888" max="15888" width="2.77734375" style="2684" bestFit="1" customWidth="1"/>
    <col min="15889" max="16127" width="8.88671875" style="2684"/>
    <col min="16128" max="16129" width="8.88671875" style="2684" customWidth="1"/>
    <col min="16130" max="16130" width="10.21875" style="2684" customWidth="1"/>
    <col min="16131" max="16131" width="2.21875" style="2684" customWidth="1"/>
    <col min="16132" max="16132" width="50.44140625" style="2684" customWidth="1"/>
    <col min="16133" max="16133" width="8.88671875" style="2684"/>
    <col min="16134" max="16134" width="2.109375" style="2684" customWidth="1"/>
    <col min="16135" max="16135" width="23.88671875" style="2684" customWidth="1"/>
    <col min="16136" max="16136" width="2.109375" style="2684" customWidth="1"/>
    <col min="16137" max="16137" width="23.88671875" style="2684" customWidth="1"/>
    <col min="16138" max="16138" width="2.109375" style="2684" customWidth="1"/>
    <col min="16139" max="16139" width="23.88671875" style="2684" customWidth="1"/>
    <col min="16140" max="16140" width="2.109375" style="2684" customWidth="1"/>
    <col min="16141" max="16141" width="23.88671875" style="2684" customWidth="1"/>
    <col min="16142" max="16142" width="2.109375" style="2684" customWidth="1"/>
    <col min="16143" max="16143" width="23.88671875" style="2684" customWidth="1"/>
    <col min="16144" max="16144" width="2.77734375" style="2684" bestFit="1" customWidth="1"/>
    <col min="16145" max="16384" width="8.88671875" style="2684"/>
  </cols>
  <sheetData>
    <row r="1" spans="2:16" ht="15.75">
      <c r="B1" s="2075"/>
      <c r="C1" s="2682"/>
      <c r="D1" s="1227" t="s">
        <v>1322</v>
      </c>
      <c r="E1" s="2682"/>
      <c r="F1" s="2683"/>
      <c r="G1" s="2075"/>
      <c r="H1" s="2682"/>
      <c r="I1" s="2075"/>
      <c r="J1" s="2682"/>
      <c r="K1" s="2075"/>
      <c r="L1" s="2682"/>
      <c r="M1" s="2075"/>
      <c r="N1" s="2682"/>
      <c r="P1" s="1335"/>
    </row>
    <row r="2" spans="2:16" ht="15.75">
      <c r="B2" s="2075"/>
      <c r="C2" s="2682"/>
      <c r="D2" s="2075"/>
      <c r="E2" s="2682"/>
      <c r="F2" s="2683"/>
      <c r="G2" s="2075"/>
      <c r="H2" s="2682"/>
      <c r="I2" s="2075"/>
      <c r="J2" s="2682"/>
      <c r="K2" s="2075"/>
      <c r="L2" s="2682"/>
      <c r="M2" s="2075"/>
      <c r="N2" s="2682"/>
      <c r="O2" s="2958" t="s">
        <v>843</v>
      </c>
      <c r="P2" s="1335"/>
    </row>
    <row r="3" spans="2:16" ht="15.75">
      <c r="B3" s="2075"/>
      <c r="C3" s="2682"/>
      <c r="D3" s="2075"/>
      <c r="E3" s="2682"/>
      <c r="F3" s="2683"/>
      <c r="G3" s="2075"/>
      <c r="H3" s="2682"/>
      <c r="I3" s="2075"/>
      <c r="J3" s="2682"/>
      <c r="K3" s="2075"/>
      <c r="L3" s="2682"/>
      <c r="M3" s="2075"/>
      <c r="N3" s="2682"/>
      <c r="O3" s="1336"/>
      <c r="P3" s="1337"/>
    </row>
    <row r="4" spans="2:16" ht="18">
      <c r="B4" s="1254"/>
      <c r="C4" s="1338"/>
      <c r="D4" s="1260" t="s">
        <v>0</v>
      </c>
      <c r="E4" s="1338"/>
      <c r="F4" s="1338"/>
      <c r="G4"/>
      <c r="H4" s="1339"/>
      <c r="I4"/>
      <c r="J4" s="1339"/>
      <c r="K4"/>
      <c r="L4" s="1339"/>
      <c r="M4" s="1256"/>
      <c r="N4" s="1256"/>
      <c r="O4" s="2959"/>
      <c r="P4" s="1340"/>
    </row>
    <row r="5" spans="2:16" ht="18">
      <c r="B5" s="1254"/>
      <c r="C5" s="1338"/>
      <c r="D5" s="1260" t="s">
        <v>1178</v>
      </c>
      <c r="E5" s="1338"/>
      <c r="F5" s="1338"/>
      <c r="G5"/>
      <c r="H5" s="1339"/>
      <c r="I5"/>
      <c r="J5" s="1339"/>
      <c r="K5"/>
      <c r="L5" s="1339"/>
      <c r="M5" s="1257"/>
      <c r="N5" s="1257"/>
      <c r="O5" s="1257"/>
      <c r="P5" s="1341"/>
    </row>
    <row r="6" spans="2:16" ht="15.75">
      <c r="B6" s="1254"/>
      <c r="C6" s="1338"/>
      <c r="D6" s="1255"/>
      <c r="E6" s="1338"/>
      <c r="F6" s="1338"/>
      <c r="G6"/>
      <c r="H6" s="1339"/>
      <c r="I6"/>
      <c r="J6" s="1339"/>
      <c r="K6"/>
      <c r="L6" s="1339"/>
      <c r="M6" s="1258"/>
      <c r="N6" s="1258"/>
      <c r="O6" s="1258"/>
      <c r="P6" s="1342"/>
    </row>
    <row r="7" spans="2:16" ht="15.75">
      <c r="B7" s="1254"/>
      <c r="C7" s="1343"/>
      <c r="D7" s="1253"/>
      <c r="E7" s="1344"/>
      <c r="F7" s="1344"/>
      <c r="G7"/>
      <c r="H7" s="1339"/>
      <c r="I7"/>
      <c r="J7" s="1339"/>
      <c r="K7"/>
      <c r="L7" s="1339"/>
      <c r="M7" s="1259"/>
      <c r="N7" s="1259"/>
      <c r="O7" s="1259"/>
      <c r="P7" s="1345"/>
    </row>
    <row r="8" spans="2:16" s="999" customFormat="1" ht="16.5" thickBot="1">
      <c r="B8" s="1261" t="s">
        <v>844</v>
      </c>
      <c r="C8" s="1788"/>
      <c r="D8" s="1262" t="s">
        <v>845</v>
      </c>
      <c r="E8" s="1262"/>
      <c r="F8" s="1262"/>
      <c r="G8" s="2685">
        <v>41851</v>
      </c>
      <c r="H8" s="1789"/>
      <c r="I8" s="2685">
        <v>41882</v>
      </c>
      <c r="J8" s="1789"/>
      <c r="K8" s="2685">
        <v>41912</v>
      </c>
      <c r="L8" s="1789"/>
      <c r="M8" s="1789" t="s">
        <v>846</v>
      </c>
      <c r="N8" s="1790"/>
      <c r="O8" s="2685">
        <v>41943</v>
      </c>
      <c r="P8" s="1347"/>
    </row>
    <row r="9" spans="2:16" s="999" customFormat="1" ht="15.75">
      <c r="B9" s="1463"/>
      <c r="C9" s="1349"/>
      <c r="D9" s="1263" t="s">
        <v>153</v>
      </c>
      <c r="E9" s="1346"/>
      <c r="F9" s="1346"/>
      <c r="G9" s="1791"/>
      <c r="H9" s="1791"/>
      <c r="I9" s="1791"/>
      <c r="J9" s="1791"/>
      <c r="K9" s="1791"/>
      <c r="L9" s="1791"/>
      <c r="M9" s="1792"/>
      <c r="N9" s="1792"/>
      <c r="O9" s="1792"/>
      <c r="P9" s="1351"/>
    </row>
    <row r="10" spans="2:16" s="999" customFormat="1" ht="15.75">
      <c r="B10" s="3295">
        <v>10050</v>
      </c>
      <c r="C10" s="1463"/>
      <c r="D10" s="1265" t="s">
        <v>1323</v>
      </c>
      <c r="E10"/>
      <c r="F10" s="1793"/>
      <c r="G10" s="2686">
        <v>0</v>
      </c>
      <c r="H10" s="1794"/>
      <c r="I10" s="2686">
        <v>0</v>
      </c>
      <c r="J10" s="1794"/>
      <c r="K10" s="2686">
        <v>0</v>
      </c>
      <c r="L10" s="1794"/>
      <c r="M10" s="2686">
        <f>ROUND(SUM(O10)-SUM(K10),2)</f>
        <v>0</v>
      </c>
      <c r="N10" s="1794"/>
      <c r="O10" s="2686">
        <v>0</v>
      </c>
      <c r="P10" s="1352" t="s">
        <v>1170</v>
      </c>
    </row>
    <row r="11" spans="2:16" s="999" customFormat="1" ht="16.5" thickBot="1">
      <c r="B11" s="1267"/>
      <c r="C11" s="1349"/>
      <c r="D11" s="1268" t="s">
        <v>847</v>
      </c>
      <c r="E11" s="1346"/>
      <c r="F11" s="1346"/>
      <c r="G11" s="3298">
        <f>ROUND(SUM(G10),2)</f>
        <v>0</v>
      </c>
      <c r="H11" s="3299"/>
      <c r="I11" s="3298">
        <f>ROUND(SUM(I10),2)</f>
        <v>0</v>
      </c>
      <c r="J11" s="3299"/>
      <c r="K11" s="3298">
        <f>ROUND(SUM(K10),2)</f>
        <v>0</v>
      </c>
      <c r="L11" s="3299"/>
      <c r="M11" s="3298">
        <f>ROUND(SUM(M10),2)</f>
        <v>0</v>
      </c>
      <c r="N11" s="3299"/>
      <c r="O11" s="3298">
        <f>ROUND(SUM(O10),2)</f>
        <v>0</v>
      </c>
      <c r="P11" s="1352"/>
    </row>
    <row r="12" spans="2:16" s="999" customFormat="1" ht="16.5" thickTop="1">
      <c r="B12" s="1267"/>
      <c r="C12" s="1353"/>
      <c r="D12" s="1270"/>
      <c r="E12" s="1290"/>
      <c r="F12" s="1290"/>
      <c r="G12" s="1795"/>
      <c r="H12" s="1795"/>
      <c r="I12" s="1795"/>
      <c r="J12" s="1795"/>
      <c r="K12" s="1795"/>
      <c r="L12" s="1795"/>
      <c r="M12" s="1289"/>
      <c r="N12" s="1289"/>
      <c r="O12" s="1289"/>
      <c r="P12" s="1282"/>
    </row>
    <row r="13" spans="2:16" s="999" customFormat="1" ht="15.75">
      <c r="B13" s="1267"/>
      <c r="C13" s="1349"/>
      <c r="D13" s="1263" t="s">
        <v>848</v>
      </c>
      <c r="E13" s="1346"/>
      <c r="F13" s="1346"/>
      <c r="G13" s="1796"/>
      <c r="H13" s="1796"/>
      <c r="I13" s="1796"/>
      <c r="J13" s="1796"/>
      <c r="K13" s="1796"/>
      <c r="L13" s="1796"/>
      <c r="M13" s="1797"/>
      <c r="N13" s="1797"/>
      <c r="O13" s="1797"/>
      <c r="P13" s="1282"/>
    </row>
    <row r="14" spans="2:16" s="999" customFormat="1" ht="15.75">
      <c r="B14" s="3295">
        <v>30051</v>
      </c>
      <c r="C14" s="2075"/>
      <c r="D14" s="1265" t="s">
        <v>849</v>
      </c>
      <c r="E14" s="2075"/>
      <c r="F14" s="2076">
        <v>227042324.13</v>
      </c>
      <c r="G14" s="2076">
        <v>327500608.19</v>
      </c>
      <c r="H14" s="2076"/>
      <c r="I14" s="2076">
        <v>358982074.88999999</v>
      </c>
      <c r="J14" s="2076"/>
      <c r="K14" s="2076">
        <v>761409894.42999995</v>
      </c>
      <c r="L14" s="2076"/>
      <c r="M14" s="2076">
        <v>-17615320.299999952</v>
      </c>
      <c r="N14" s="2076"/>
      <c r="O14" s="2076">
        <v>743794574.13</v>
      </c>
      <c r="P14" s="1352" t="s">
        <v>119</v>
      </c>
    </row>
    <row r="15" spans="2:16" s="999" customFormat="1" ht="15.75">
      <c r="B15" s="3295">
        <v>30101</v>
      </c>
      <c r="C15" s="2075"/>
      <c r="D15" s="1265" t="s">
        <v>850</v>
      </c>
      <c r="E15" s="2075"/>
      <c r="F15" s="2076">
        <v>0</v>
      </c>
      <c r="G15" s="2076">
        <v>0</v>
      </c>
      <c r="H15" s="2076"/>
      <c r="I15" s="2076">
        <v>0</v>
      </c>
      <c r="J15" s="2076"/>
      <c r="K15" s="2076">
        <v>0</v>
      </c>
      <c r="L15" s="2076"/>
      <c r="M15" s="2076">
        <v>0</v>
      </c>
      <c r="N15" s="2076"/>
      <c r="O15" s="2076">
        <v>0</v>
      </c>
      <c r="P15" s="1282"/>
    </row>
    <row r="16" spans="2:16" s="999" customFormat="1" ht="15.75">
      <c r="B16" s="3295">
        <v>30102</v>
      </c>
      <c r="C16" s="2075"/>
      <c r="D16" s="1265" t="s">
        <v>851</v>
      </c>
      <c r="E16" s="2075"/>
      <c r="F16" s="2076">
        <v>0</v>
      </c>
      <c r="G16" s="2076">
        <v>0</v>
      </c>
      <c r="H16" s="2076"/>
      <c r="I16" s="2076">
        <v>0</v>
      </c>
      <c r="J16" s="2076"/>
      <c r="K16" s="2076">
        <v>0</v>
      </c>
      <c r="L16" s="2076"/>
      <c r="M16" s="2076">
        <v>0</v>
      </c>
      <c r="N16" s="2076"/>
      <c r="O16" s="2076">
        <v>0</v>
      </c>
      <c r="P16" s="1282"/>
    </row>
    <row r="17" spans="2:16" s="999" customFormat="1" ht="15.75">
      <c r="B17" s="3295">
        <v>30103</v>
      </c>
      <c r="C17" s="2075"/>
      <c r="D17" s="1265" t="s">
        <v>852</v>
      </c>
      <c r="E17" s="2075"/>
      <c r="F17" s="2076">
        <v>0</v>
      </c>
      <c r="G17" s="2076">
        <v>0</v>
      </c>
      <c r="H17" s="2076"/>
      <c r="I17" s="2076">
        <v>0</v>
      </c>
      <c r="J17" s="2076"/>
      <c r="K17" s="2076">
        <v>0</v>
      </c>
      <c r="L17" s="2076"/>
      <c r="M17" s="2076">
        <v>0</v>
      </c>
      <c r="N17" s="2076"/>
      <c r="O17" s="2076">
        <v>0</v>
      </c>
      <c r="P17" s="1282"/>
    </row>
    <row r="18" spans="2:16" s="999" customFormat="1" ht="15.75">
      <c r="B18" s="3295">
        <v>30104</v>
      </c>
      <c r="C18" s="2075"/>
      <c r="D18" s="1265" t="s">
        <v>853</v>
      </c>
      <c r="E18" s="2075"/>
      <c r="F18" s="2076">
        <v>140390.18</v>
      </c>
      <c r="G18" s="2076">
        <v>697132.09</v>
      </c>
      <c r="H18" s="2076"/>
      <c r="I18" s="2076">
        <v>3553504.58</v>
      </c>
      <c r="J18" s="2076"/>
      <c r="K18" s="2076">
        <v>4484440.37</v>
      </c>
      <c r="L18" s="2076"/>
      <c r="M18" s="2076">
        <v>-2380114.2600000002</v>
      </c>
      <c r="N18" s="2076"/>
      <c r="O18" s="2076">
        <v>2104326.11</v>
      </c>
      <c r="P18" s="1282"/>
    </row>
    <row r="19" spans="2:16" s="999" customFormat="1" ht="15.75">
      <c r="B19" s="3295">
        <v>30105</v>
      </c>
      <c r="C19" s="2075"/>
      <c r="D19" s="1265" t="s">
        <v>854</v>
      </c>
      <c r="E19" s="2075"/>
      <c r="F19" s="2076">
        <v>0</v>
      </c>
      <c r="G19" s="2076">
        <v>0</v>
      </c>
      <c r="H19" s="2076"/>
      <c r="I19" s="2076">
        <v>0</v>
      </c>
      <c r="J19" s="2076"/>
      <c r="K19" s="2076">
        <v>0</v>
      </c>
      <c r="L19" s="2076"/>
      <c r="M19" s="2076">
        <v>0</v>
      </c>
      <c r="N19" s="2076"/>
      <c r="O19" s="2076">
        <v>0</v>
      </c>
      <c r="P19" s="1282"/>
    </row>
    <row r="20" spans="2:16" s="999" customFormat="1" ht="15.75">
      <c r="B20" s="3295">
        <v>30106</v>
      </c>
      <c r="C20" s="2075"/>
      <c r="D20" s="1265" t="s">
        <v>1416</v>
      </c>
      <c r="E20" s="2075"/>
      <c r="F20" s="2076">
        <v>0</v>
      </c>
      <c r="G20" s="2076">
        <v>0</v>
      </c>
      <c r="H20" s="2076"/>
      <c r="I20" s="2076">
        <v>0</v>
      </c>
      <c r="J20" s="2076"/>
      <c r="K20" s="2076">
        <v>0</v>
      </c>
      <c r="L20" s="2076"/>
      <c r="M20" s="2076">
        <v>0</v>
      </c>
      <c r="N20" s="2076"/>
      <c r="O20" s="2076">
        <v>0</v>
      </c>
      <c r="P20" s="1282"/>
    </row>
    <row r="21" spans="2:16" s="999" customFormat="1" ht="15.75">
      <c r="B21" s="3295">
        <v>30107</v>
      </c>
      <c r="C21" s="2075"/>
      <c r="D21" s="1265" t="s">
        <v>855</v>
      </c>
      <c r="E21" s="2075"/>
      <c r="F21" s="2076">
        <v>0</v>
      </c>
      <c r="G21" s="2076">
        <v>0</v>
      </c>
      <c r="H21" s="2076"/>
      <c r="I21" s="2076">
        <v>0</v>
      </c>
      <c r="J21" s="2076"/>
      <c r="K21" s="2076">
        <v>0</v>
      </c>
      <c r="L21" s="2076"/>
      <c r="M21" s="2076">
        <v>0</v>
      </c>
      <c r="N21" s="2076"/>
      <c r="O21" s="2076">
        <v>0</v>
      </c>
      <c r="P21" s="1282"/>
    </row>
    <row r="22" spans="2:16" s="999" customFormat="1" ht="15.75">
      <c r="B22" s="3295">
        <v>30108</v>
      </c>
      <c r="C22" s="2075"/>
      <c r="D22" s="1265" t="s">
        <v>1417</v>
      </c>
      <c r="E22" s="2075"/>
      <c r="F22" s="2076">
        <v>0</v>
      </c>
      <c r="G22" s="2076">
        <v>0</v>
      </c>
      <c r="H22" s="2076"/>
      <c r="I22" s="2076">
        <v>0</v>
      </c>
      <c r="J22" s="2076"/>
      <c r="K22" s="2076">
        <v>0</v>
      </c>
      <c r="L22" s="2076"/>
      <c r="M22" s="2076">
        <v>0</v>
      </c>
      <c r="N22" s="2076"/>
      <c r="O22" s="2076">
        <v>0</v>
      </c>
      <c r="P22" s="1282"/>
    </row>
    <row r="23" spans="2:16" s="999" customFormat="1" ht="15.75">
      <c r="B23" s="3295">
        <v>30109</v>
      </c>
      <c r="C23" s="2075"/>
      <c r="D23" s="1265" t="s">
        <v>856</v>
      </c>
      <c r="E23" s="2075"/>
      <c r="F23" s="2076">
        <v>0</v>
      </c>
      <c r="G23" s="2076">
        <v>0</v>
      </c>
      <c r="H23" s="2076"/>
      <c r="I23" s="2076">
        <v>0</v>
      </c>
      <c r="J23" s="2076"/>
      <c r="K23" s="2076">
        <v>0</v>
      </c>
      <c r="L23" s="2076"/>
      <c r="M23" s="2076">
        <v>0</v>
      </c>
      <c r="N23" s="2076"/>
      <c r="O23" s="2076">
        <v>0</v>
      </c>
      <c r="P23" s="1282"/>
    </row>
    <row r="24" spans="2:16" s="999" customFormat="1" ht="15.75">
      <c r="B24" s="3295">
        <v>30110</v>
      </c>
      <c r="C24" s="2075"/>
      <c r="D24" s="1265" t="s">
        <v>857</v>
      </c>
      <c r="E24" s="2075"/>
      <c r="F24" s="2076">
        <v>0</v>
      </c>
      <c r="G24" s="2076">
        <v>0</v>
      </c>
      <c r="H24" s="2076"/>
      <c r="I24" s="2076">
        <v>0</v>
      </c>
      <c r="J24" s="2076"/>
      <c r="K24" s="2076">
        <v>0</v>
      </c>
      <c r="L24" s="2076"/>
      <c r="M24" s="2076">
        <v>0</v>
      </c>
      <c r="N24" s="2076"/>
      <c r="O24" s="2076">
        <v>0</v>
      </c>
      <c r="P24" s="1282"/>
    </row>
    <row r="25" spans="2:16" s="999" customFormat="1" ht="15.75">
      <c r="B25" s="3295">
        <v>30111</v>
      </c>
      <c r="C25" s="2075"/>
      <c r="D25" s="1265" t="s">
        <v>858</v>
      </c>
      <c r="E25" s="2075"/>
      <c r="F25" s="2076">
        <v>0</v>
      </c>
      <c r="G25" s="2076">
        <v>0</v>
      </c>
      <c r="H25" s="2076"/>
      <c r="I25" s="2076">
        <v>0</v>
      </c>
      <c r="J25" s="2076"/>
      <c r="K25" s="2076">
        <v>0</v>
      </c>
      <c r="L25" s="2076"/>
      <c r="M25" s="2076">
        <v>0</v>
      </c>
      <c r="N25" s="2076"/>
      <c r="O25" s="2076">
        <v>0</v>
      </c>
      <c r="P25" s="1282"/>
    </row>
    <row r="26" spans="2:16" s="999" customFormat="1" ht="15.75">
      <c r="B26" s="3295">
        <v>30112</v>
      </c>
      <c r="C26" s="2075"/>
      <c r="D26" s="1265" t="s">
        <v>859</v>
      </c>
      <c r="E26" s="2075"/>
      <c r="F26" s="2076">
        <v>0</v>
      </c>
      <c r="G26" s="2076">
        <v>0</v>
      </c>
      <c r="H26" s="2076"/>
      <c r="I26" s="2076">
        <v>0</v>
      </c>
      <c r="J26" s="2076"/>
      <c r="K26" s="2076">
        <v>0</v>
      </c>
      <c r="L26" s="2076"/>
      <c r="M26" s="2076">
        <v>0</v>
      </c>
      <c r="N26" s="2076"/>
      <c r="O26" s="2076">
        <v>0</v>
      </c>
      <c r="P26" s="1282"/>
    </row>
    <row r="27" spans="2:16" s="999" customFormat="1" ht="15.75">
      <c r="B27" s="3295">
        <v>30113</v>
      </c>
      <c r="C27" s="2075"/>
      <c r="D27" s="1265" t="s">
        <v>860</v>
      </c>
      <c r="E27" s="2075"/>
      <c r="F27" s="2076">
        <v>0</v>
      </c>
      <c r="G27" s="2076">
        <v>0</v>
      </c>
      <c r="H27" s="2076"/>
      <c r="I27" s="2076">
        <v>0</v>
      </c>
      <c r="J27" s="2076"/>
      <c r="K27" s="2076">
        <v>0</v>
      </c>
      <c r="L27" s="2076"/>
      <c r="M27" s="2076">
        <v>0</v>
      </c>
      <c r="N27" s="2076"/>
      <c r="O27" s="2076">
        <v>0</v>
      </c>
      <c r="P27" s="1282"/>
    </row>
    <row r="28" spans="2:16" s="999" customFormat="1" ht="15.75">
      <c r="B28" s="3295">
        <v>30114</v>
      </c>
      <c r="C28" s="2075"/>
      <c r="D28" s="1265" t="s">
        <v>861</v>
      </c>
      <c r="E28" s="2075"/>
      <c r="F28" s="2076">
        <v>0</v>
      </c>
      <c r="G28" s="2076">
        <v>0</v>
      </c>
      <c r="H28" s="2076"/>
      <c r="I28" s="2076">
        <v>0</v>
      </c>
      <c r="J28" s="2076"/>
      <c r="K28" s="2076">
        <v>0</v>
      </c>
      <c r="L28" s="2076"/>
      <c r="M28" s="2076">
        <v>0</v>
      </c>
      <c r="N28" s="2076"/>
      <c r="O28" s="2076">
        <v>0</v>
      </c>
      <c r="P28" s="1282"/>
    </row>
    <row r="29" spans="2:16" s="999" customFormat="1" ht="15.75">
      <c r="B29" s="3295">
        <v>30115</v>
      </c>
      <c r="C29" s="2075"/>
      <c r="D29" s="1265" t="s">
        <v>862</v>
      </c>
      <c r="E29" s="2075"/>
      <c r="F29" s="2076">
        <v>0</v>
      </c>
      <c r="G29" s="2076">
        <v>0</v>
      </c>
      <c r="H29" s="2076"/>
      <c r="I29" s="2076">
        <v>0</v>
      </c>
      <c r="J29" s="2076"/>
      <c r="K29" s="2076">
        <v>0</v>
      </c>
      <c r="L29" s="2076"/>
      <c r="M29" s="2076">
        <v>0</v>
      </c>
      <c r="N29" s="2076"/>
      <c r="O29" s="2076">
        <v>0</v>
      </c>
      <c r="P29" s="1282"/>
    </row>
    <row r="30" spans="2:16" s="999" customFormat="1" ht="15.75">
      <c r="B30" s="3295">
        <v>30116</v>
      </c>
      <c r="C30" s="2075"/>
      <c r="D30" s="1265" t="s">
        <v>863</v>
      </c>
      <c r="E30" s="2075"/>
      <c r="F30" s="2076">
        <v>0</v>
      </c>
      <c r="G30" s="2076">
        <v>0</v>
      </c>
      <c r="H30" s="2076"/>
      <c r="I30" s="2076">
        <v>0</v>
      </c>
      <c r="J30" s="2076"/>
      <c r="K30" s="2076">
        <v>0</v>
      </c>
      <c r="L30" s="2076"/>
      <c r="M30" s="2076">
        <v>0</v>
      </c>
      <c r="N30" s="2076"/>
      <c r="O30" s="2076">
        <v>0</v>
      </c>
      <c r="P30" s="1282"/>
    </row>
    <row r="31" spans="2:16" s="999" customFormat="1" ht="15.75">
      <c r="B31" s="3295">
        <v>30117</v>
      </c>
      <c r="C31" s="2075"/>
      <c r="D31" s="1265" t="s">
        <v>864</v>
      </c>
      <c r="E31" s="2075"/>
      <c r="F31" s="2076">
        <v>0</v>
      </c>
      <c r="G31" s="2076">
        <v>0</v>
      </c>
      <c r="H31" s="2076"/>
      <c r="I31" s="2076">
        <v>0</v>
      </c>
      <c r="J31" s="2076"/>
      <c r="K31" s="2076">
        <v>0</v>
      </c>
      <c r="L31" s="2076"/>
      <c r="M31" s="2076">
        <v>0</v>
      </c>
      <c r="N31" s="2076"/>
      <c r="O31" s="2076">
        <v>0</v>
      </c>
      <c r="P31" s="1282"/>
    </row>
    <row r="32" spans="2:16" s="999" customFormat="1" ht="15.75">
      <c r="B32" s="3295">
        <v>30118</v>
      </c>
      <c r="C32" s="2075"/>
      <c r="D32" s="1265" t="s">
        <v>865</v>
      </c>
      <c r="E32" s="2075"/>
      <c r="F32" s="2076">
        <v>0</v>
      </c>
      <c r="G32" s="2076">
        <v>0</v>
      </c>
      <c r="H32" s="2076"/>
      <c r="I32" s="2076">
        <v>0</v>
      </c>
      <c r="J32" s="2076"/>
      <c r="K32" s="2076">
        <v>0</v>
      </c>
      <c r="L32" s="2076"/>
      <c r="M32" s="2076">
        <v>0</v>
      </c>
      <c r="N32" s="2076"/>
      <c r="O32" s="2076">
        <v>0</v>
      </c>
      <c r="P32" s="1282"/>
    </row>
    <row r="33" spans="2:16" s="999" customFormat="1" ht="15.75">
      <c r="B33" s="3295">
        <v>30119</v>
      </c>
      <c r="C33" s="2075"/>
      <c r="D33" s="1265" t="s">
        <v>866</v>
      </c>
      <c r="E33" s="2075"/>
      <c r="F33" s="2076">
        <v>0</v>
      </c>
      <c r="G33" s="2076">
        <v>0</v>
      </c>
      <c r="H33" s="2076"/>
      <c r="I33" s="2076">
        <v>0</v>
      </c>
      <c r="J33" s="2076"/>
      <c r="K33" s="2076">
        <v>0</v>
      </c>
      <c r="L33" s="2076"/>
      <c r="M33" s="2076">
        <v>0</v>
      </c>
      <c r="N33" s="2076"/>
      <c r="O33" s="2076">
        <v>0</v>
      </c>
      <c r="P33" s="1282"/>
    </row>
    <row r="34" spans="2:16" s="999" customFormat="1" ht="15.75">
      <c r="B34" s="3295">
        <v>30120</v>
      </c>
      <c r="C34" s="2075"/>
      <c r="D34" s="1265" t="s">
        <v>867</v>
      </c>
      <c r="E34" s="2075"/>
      <c r="F34" s="2076">
        <v>0</v>
      </c>
      <c r="G34" s="2076">
        <v>0</v>
      </c>
      <c r="H34" s="2076"/>
      <c r="I34" s="2076">
        <v>0</v>
      </c>
      <c r="J34" s="2076"/>
      <c r="K34" s="2076">
        <v>0</v>
      </c>
      <c r="L34" s="2076"/>
      <c r="M34" s="2076">
        <v>0</v>
      </c>
      <c r="N34" s="2076"/>
      <c r="O34" s="2076">
        <v>0</v>
      </c>
      <c r="P34" s="1282"/>
    </row>
    <row r="35" spans="2:16" s="999" customFormat="1" ht="15.75">
      <c r="B35" s="3295">
        <v>30121</v>
      </c>
      <c r="C35" s="2075"/>
      <c r="D35" s="1265" t="s">
        <v>868</v>
      </c>
      <c r="E35" s="2075"/>
      <c r="F35" s="2076">
        <v>0</v>
      </c>
      <c r="G35" s="2076">
        <v>0</v>
      </c>
      <c r="H35" s="2076"/>
      <c r="I35" s="2076">
        <v>0</v>
      </c>
      <c r="J35" s="2076"/>
      <c r="K35" s="2076">
        <v>0</v>
      </c>
      <c r="L35" s="2076"/>
      <c r="M35" s="2076">
        <v>0</v>
      </c>
      <c r="N35" s="2076"/>
      <c r="O35" s="2076">
        <v>0</v>
      </c>
      <c r="P35" s="1282"/>
    </row>
    <row r="36" spans="2:16" s="999" customFormat="1" ht="15.75">
      <c r="B36" s="3295">
        <v>30122</v>
      </c>
      <c r="C36" s="2075"/>
      <c r="D36" s="1265" t="s">
        <v>869</v>
      </c>
      <c r="E36" s="2075"/>
      <c r="F36" s="2076">
        <v>0</v>
      </c>
      <c r="G36" s="2076">
        <v>0</v>
      </c>
      <c r="H36" s="2076"/>
      <c r="I36" s="2076">
        <v>0</v>
      </c>
      <c r="J36" s="2076"/>
      <c r="K36" s="2076">
        <v>0</v>
      </c>
      <c r="L36" s="2076"/>
      <c r="M36" s="2076">
        <v>0</v>
      </c>
      <c r="N36" s="2076"/>
      <c r="O36" s="2076">
        <v>0</v>
      </c>
      <c r="P36" s="1282"/>
    </row>
    <row r="37" spans="2:16" s="999" customFormat="1" ht="15.75">
      <c r="B37" s="3295">
        <v>30123</v>
      </c>
      <c r="C37" s="2075"/>
      <c r="D37" s="1265" t="s">
        <v>870</v>
      </c>
      <c r="E37" s="2075"/>
      <c r="F37" s="2076">
        <v>0</v>
      </c>
      <c r="G37" s="2076">
        <v>0</v>
      </c>
      <c r="H37" s="2076"/>
      <c r="I37" s="2076">
        <v>0</v>
      </c>
      <c r="J37" s="2076"/>
      <c r="K37" s="2076">
        <v>0</v>
      </c>
      <c r="L37" s="2076"/>
      <c r="M37" s="2076">
        <v>0</v>
      </c>
      <c r="N37" s="2076"/>
      <c r="O37" s="2076">
        <v>0</v>
      </c>
      <c r="P37" s="1282"/>
    </row>
    <row r="38" spans="2:16" s="999" customFormat="1" ht="15.75">
      <c r="B38" s="3295">
        <v>30124</v>
      </c>
      <c r="C38" s="2075"/>
      <c r="D38" s="1265" t="s">
        <v>871</v>
      </c>
      <c r="E38" s="2075"/>
      <c r="F38" s="2076">
        <v>0</v>
      </c>
      <c r="G38" s="2076">
        <v>0</v>
      </c>
      <c r="H38" s="2076"/>
      <c r="I38" s="2076">
        <v>0</v>
      </c>
      <c r="J38" s="2076"/>
      <c r="K38" s="2076">
        <v>0</v>
      </c>
      <c r="L38" s="2076"/>
      <c r="M38" s="2076">
        <v>0</v>
      </c>
      <c r="N38" s="2076"/>
      <c r="O38" s="2076">
        <v>0</v>
      </c>
      <c r="P38" s="1282"/>
    </row>
    <row r="39" spans="2:16" s="999" customFormat="1" ht="15.75">
      <c r="B39" s="3295">
        <v>30125</v>
      </c>
      <c r="C39" s="2075"/>
      <c r="D39" s="1265" t="s">
        <v>872</v>
      </c>
      <c r="E39" s="2075"/>
      <c r="F39" s="2076">
        <v>0</v>
      </c>
      <c r="G39" s="2076">
        <v>0</v>
      </c>
      <c r="H39" s="2076"/>
      <c r="I39" s="2076">
        <v>0</v>
      </c>
      <c r="J39" s="2076"/>
      <c r="K39" s="2076">
        <v>0</v>
      </c>
      <c r="L39" s="2076"/>
      <c r="M39" s="2076">
        <v>0</v>
      </c>
      <c r="N39" s="2076"/>
      <c r="O39" s="2076">
        <v>0</v>
      </c>
      <c r="P39" s="1282"/>
    </row>
    <row r="40" spans="2:16" s="999" customFormat="1" ht="15.75">
      <c r="B40" s="3295">
        <v>30126</v>
      </c>
      <c r="C40" s="2075"/>
      <c r="D40" s="1265" t="s">
        <v>873</v>
      </c>
      <c r="E40" s="2075"/>
      <c r="F40" s="2076">
        <v>0</v>
      </c>
      <c r="G40" s="2076">
        <v>0</v>
      </c>
      <c r="H40" s="2076"/>
      <c r="I40" s="2076">
        <v>0</v>
      </c>
      <c r="J40" s="2076"/>
      <c r="K40" s="2076">
        <v>0</v>
      </c>
      <c r="L40" s="2076"/>
      <c r="M40" s="2076">
        <v>0</v>
      </c>
      <c r="N40" s="2076"/>
      <c r="O40" s="2076">
        <v>0</v>
      </c>
      <c r="P40" s="1282"/>
    </row>
    <row r="41" spans="2:16" s="999" customFormat="1" ht="15.75">
      <c r="B41" s="3295">
        <v>30127</v>
      </c>
      <c r="C41" s="2075"/>
      <c r="D41" s="1265" t="s">
        <v>874</v>
      </c>
      <c r="E41" s="2075"/>
      <c r="F41" s="2076">
        <v>0</v>
      </c>
      <c r="G41" s="2076">
        <v>0</v>
      </c>
      <c r="H41" s="2076"/>
      <c r="I41" s="2076">
        <v>0</v>
      </c>
      <c r="J41" s="2076"/>
      <c r="K41" s="2076">
        <v>0</v>
      </c>
      <c r="L41" s="2076"/>
      <c r="M41" s="2076">
        <v>0</v>
      </c>
      <c r="N41" s="2076"/>
      <c r="O41" s="2076">
        <v>0</v>
      </c>
      <c r="P41" s="1282"/>
    </row>
    <row r="42" spans="2:16" s="999" customFormat="1" ht="15.75">
      <c r="B42" s="3295">
        <v>30128</v>
      </c>
      <c r="C42" s="2075"/>
      <c r="D42" s="1265" t="s">
        <v>875</v>
      </c>
      <c r="E42" s="2075"/>
      <c r="F42" s="2076">
        <v>0</v>
      </c>
      <c r="G42" s="2076">
        <v>0</v>
      </c>
      <c r="H42" s="2076"/>
      <c r="I42" s="2076">
        <v>0</v>
      </c>
      <c r="J42" s="2076"/>
      <c r="K42" s="2076">
        <v>0</v>
      </c>
      <c r="L42" s="2076"/>
      <c r="M42" s="2076">
        <v>0</v>
      </c>
      <c r="N42" s="2076"/>
      <c r="O42" s="2076">
        <v>0</v>
      </c>
      <c r="P42" s="1282"/>
    </row>
    <row r="43" spans="2:16" s="999" customFormat="1" ht="15.75">
      <c r="B43" s="3295">
        <v>30129</v>
      </c>
      <c r="C43" s="2075"/>
      <c r="D43" s="1265" t="s">
        <v>876</v>
      </c>
      <c r="E43" s="2075"/>
      <c r="F43" s="2076">
        <v>0</v>
      </c>
      <c r="G43" s="2076">
        <v>0</v>
      </c>
      <c r="H43" s="2076"/>
      <c r="I43" s="2076">
        <v>0</v>
      </c>
      <c r="J43" s="2076"/>
      <c r="K43" s="2076">
        <v>0</v>
      </c>
      <c r="L43" s="2076"/>
      <c r="M43" s="2076">
        <v>0</v>
      </c>
      <c r="N43" s="2076"/>
      <c r="O43" s="2076">
        <v>0</v>
      </c>
      <c r="P43" s="1282"/>
    </row>
    <row r="44" spans="2:16" s="999" customFormat="1" ht="15.75">
      <c r="B44" s="3295">
        <v>30130</v>
      </c>
      <c r="C44" s="2075"/>
      <c r="D44" s="1265" t="s">
        <v>877</v>
      </c>
      <c r="E44" s="2075"/>
      <c r="F44" s="2076">
        <v>0</v>
      </c>
      <c r="G44" s="2076">
        <v>0</v>
      </c>
      <c r="H44" s="2076"/>
      <c r="I44" s="2076">
        <v>0</v>
      </c>
      <c r="J44" s="2076"/>
      <c r="K44" s="2076">
        <v>0</v>
      </c>
      <c r="L44" s="2076"/>
      <c r="M44" s="2076">
        <v>0</v>
      </c>
      <c r="N44" s="2076"/>
      <c r="O44" s="2076">
        <v>0</v>
      </c>
      <c r="P44" s="1282"/>
    </row>
    <row r="45" spans="2:16" s="999" customFormat="1" ht="15.75">
      <c r="B45" s="3295">
        <v>30131</v>
      </c>
      <c r="C45" s="2075"/>
      <c r="D45" s="1265" t="s">
        <v>878</v>
      </c>
      <c r="E45" s="2075"/>
      <c r="F45" s="2076">
        <v>0</v>
      </c>
      <c r="G45" s="2076">
        <v>0</v>
      </c>
      <c r="H45" s="2076"/>
      <c r="I45" s="2076">
        <v>0</v>
      </c>
      <c r="J45" s="2076"/>
      <c r="K45" s="2076">
        <v>0</v>
      </c>
      <c r="L45" s="2076"/>
      <c r="M45" s="2076">
        <v>0</v>
      </c>
      <c r="N45" s="2076"/>
      <c r="O45" s="2076">
        <v>0</v>
      </c>
      <c r="P45" s="1282"/>
    </row>
    <row r="46" spans="2:16" s="999" customFormat="1" ht="15.75">
      <c r="B46" s="3295">
        <v>30132</v>
      </c>
      <c r="C46" s="2075"/>
      <c r="D46" s="1265" t="s">
        <v>879</v>
      </c>
      <c r="E46" s="2075"/>
      <c r="F46" s="2076">
        <v>0</v>
      </c>
      <c r="G46" s="2076">
        <v>0</v>
      </c>
      <c r="H46" s="2076"/>
      <c r="I46" s="2076">
        <v>0</v>
      </c>
      <c r="J46" s="2076"/>
      <c r="K46" s="2076">
        <v>0</v>
      </c>
      <c r="L46" s="2076"/>
      <c r="M46" s="2076">
        <v>0</v>
      </c>
      <c r="N46" s="2076"/>
      <c r="O46" s="2076">
        <v>0</v>
      </c>
      <c r="P46" s="1282"/>
    </row>
    <row r="47" spans="2:16" s="999" customFormat="1" ht="15.75">
      <c r="B47" s="3295">
        <v>30133</v>
      </c>
      <c r="C47" s="2075"/>
      <c r="D47" s="1265" t="s">
        <v>880</v>
      </c>
      <c r="E47" s="2075"/>
      <c r="F47" s="2076">
        <v>0</v>
      </c>
      <c r="G47" s="2076">
        <v>0</v>
      </c>
      <c r="H47" s="2076"/>
      <c r="I47" s="2076">
        <v>0</v>
      </c>
      <c r="J47" s="2076"/>
      <c r="K47" s="2076">
        <v>0</v>
      </c>
      <c r="L47" s="2076"/>
      <c r="M47" s="2076">
        <v>0</v>
      </c>
      <c r="N47" s="2076"/>
      <c r="O47" s="2076">
        <v>0</v>
      </c>
      <c r="P47" s="1282"/>
    </row>
    <row r="48" spans="2:16" s="999" customFormat="1" ht="15.75">
      <c r="B48" s="3295">
        <v>30134</v>
      </c>
      <c r="C48" s="2075"/>
      <c r="D48" s="1265" t="s">
        <v>881</v>
      </c>
      <c r="E48" s="2075"/>
      <c r="F48" s="2076">
        <v>0</v>
      </c>
      <c r="G48" s="2076">
        <v>0</v>
      </c>
      <c r="H48" s="2076"/>
      <c r="I48" s="2076">
        <v>0</v>
      </c>
      <c r="J48" s="2076"/>
      <c r="K48" s="2076">
        <v>0</v>
      </c>
      <c r="L48" s="2076"/>
      <c r="M48" s="2076">
        <v>0</v>
      </c>
      <c r="N48" s="2076"/>
      <c r="O48" s="2076">
        <v>0</v>
      </c>
      <c r="P48" s="1282"/>
    </row>
    <row r="49" spans="2:16" s="999" customFormat="1" ht="15.75">
      <c r="B49" s="3295">
        <v>30135</v>
      </c>
      <c r="C49" s="2075"/>
      <c r="D49" s="1265" t="s">
        <v>882</v>
      </c>
      <c r="E49" s="2075"/>
      <c r="F49" s="2076">
        <v>0</v>
      </c>
      <c r="G49" s="2076">
        <v>0</v>
      </c>
      <c r="H49" s="2076"/>
      <c r="I49" s="2076">
        <v>0</v>
      </c>
      <c r="J49" s="2076"/>
      <c r="K49" s="2076">
        <v>0</v>
      </c>
      <c r="L49" s="2076"/>
      <c r="M49" s="2076">
        <v>0</v>
      </c>
      <c r="N49" s="2076"/>
      <c r="O49" s="2076">
        <v>0</v>
      </c>
      <c r="P49" s="1282"/>
    </row>
    <row r="50" spans="2:16" s="999" customFormat="1" ht="15.75">
      <c r="B50" s="3295">
        <v>30136</v>
      </c>
      <c r="C50" s="2075"/>
      <c r="D50" s="1265" t="s">
        <v>883</v>
      </c>
      <c r="E50" s="2075"/>
      <c r="F50" s="2076">
        <v>0</v>
      </c>
      <c r="G50" s="2076">
        <v>0</v>
      </c>
      <c r="H50" s="2076"/>
      <c r="I50" s="2076">
        <v>0</v>
      </c>
      <c r="J50" s="2076"/>
      <c r="K50" s="2076">
        <v>0</v>
      </c>
      <c r="L50" s="2076"/>
      <c r="M50" s="2076">
        <v>0</v>
      </c>
      <c r="N50" s="2076"/>
      <c r="O50" s="2076">
        <v>0</v>
      </c>
      <c r="P50" s="1282"/>
    </row>
    <row r="51" spans="2:16" s="999" customFormat="1" ht="15.75">
      <c r="B51" s="3295">
        <v>30137</v>
      </c>
      <c r="C51" s="2075"/>
      <c r="D51" s="1265" t="s">
        <v>884</v>
      </c>
      <c r="E51" s="2075"/>
      <c r="F51" s="2076">
        <v>2867.69</v>
      </c>
      <c r="G51" s="2076">
        <v>4721.41</v>
      </c>
      <c r="H51" s="2076"/>
      <c r="I51" s="2076">
        <v>0</v>
      </c>
      <c r="J51" s="2076"/>
      <c r="K51" s="2076">
        <v>0</v>
      </c>
      <c r="L51" s="2076"/>
      <c r="M51" s="2076">
        <v>0</v>
      </c>
      <c r="N51" s="2076"/>
      <c r="O51" s="2076">
        <v>0</v>
      </c>
      <c r="P51" s="1282"/>
    </row>
    <row r="52" spans="2:16" s="999" customFormat="1" ht="15.75">
      <c r="B52" s="3295">
        <v>30138</v>
      </c>
      <c r="C52" s="2075"/>
      <c r="D52" s="1265" t="s">
        <v>885</v>
      </c>
      <c r="E52" s="2075"/>
      <c r="F52" s="2076">
        <v>0</v>
      </c>
      <c r="G52" s="2076">
        <v>0</v>
      </c>
      <c r="H52" s="2076"/>
      <c r="I52" s="2076">
        <v>0</v>
      </c>
      <c r="J52" s="2076"/>
      <c r="K52" s="2076">
        <v>0</v>
      </c>
      <c r="L52" s="2076"/>
      <c r="M52" s="2076">
        <v>0</v>
      </c>
      <c r="N52" s="2076"/>
      <c r="O52" s="2076">
        <v>0</v>
      </c>
      <c r="P52" s="1282"/>
    </row>
    <row r="53" spans="2:16" s="999" customFormat="1" ht="15.75">
      <c r="B53" s="3295">
        <v>30139</v>
      </c>
      <c r="C53" s="2075"/>
      <c r="D53" s="1265" t="s">
        <v>886</v>
      </c>
      <c r="E53" s="2075"/>
      <c r="F53" s="2076">
        <v>0</v>
      </c>
      <c r="G53" s="2076">
        <v>0</v>
      </c>
      <c r="H53" s="2076"/>
      <c r="I53" s="2076">
        <v>0</v>
      </c>
      <c r="J53" s="2076"/>
      <c r="K53" s="2076">
        <v>0</v>
      </c>
      <c r="L53" s="2076"/>
      <c r="M53" s="2076">
        <v>0</v>
      </c>
      <c r="N53" s="2076"/>
      <c r="O53" s="2076">
        <v>0</v>
      </c>
      <c r="P53" s="1282"/>
    </row>
    <row r="54" spans="2:16" s="999" customFormat="1" ht="15.75">
      <c r="B54" s="3295">
        <v>30140</v>
      </c>
      <c r="C54" s="2075"/>
      <c r="D54" s="1265" t="s">
        <v>887</v>
      </c>
      <c r="E54" s="2075"/>
      <c r="F54" s="2076">
        <v>0</v>
      </c>
      <c r="G54" s="2076">
        <v>0</v>
      </c>
      <c r="H54" s="2076"/>
      <c r="I54" s="2076">
        <v>0</v>
      </c>
      <c r="J54" s="2076"/>
      <c r="K54" s="2076">
        <v>0</v>
      </c>
      <c r="L54" s="2076"/>
      <c r="M54" s="2076">
        <v>0</v>
      </c>
      <c r="N54" s="2076"/>
      <c r="O54" s="2076">
        <v>0</v>
      </c>
      <c r="P54" s="1282"/>
    </row>
    <row r="55" spans="2:16" s="999" customFormat="1" ht="15.75">
      <c r="B55" s="3295">
        <v>30141</v>
      </c>
      <c r="C55" s="2075"/>
      <c r="D55" s="1265" t="s">
        <v>888</v>
      </c>
      <c r="E55" s="2075"/>
      <c r="F55" s="2076">
        <v>0</v>
      </c>
      <c r="G55" s="2076">
        <v>0</v>
      </c>
      <c r="H55" s="2076"/>
      <c r="I55" s="2076">
        <v>0</v>
      </c>
      <c r="J55" s="2076"/>
      <c r="K55" s="2076">
        <v>0</v>
      </c>
      <c r="L55" s="2076"/>
      <c r="M55" s="2076">
        <v>0</v>
      </c>
      <c r="N55" s="2076"/>
      <c r="O55" s="2076">
        <v>0</v>
      </c>
      <c r="P55" s="1282"/>
    </row>
    <row r="56" spans="2:16" s="999" customFormat="1" ht="15.75">
      <c r="B56" s="3295">
        <v>30142</v>
      </c>
      <c r="C56" s="2075"/>
      <c r="D56" s="1265" t="s">
        <v>889</v>
      </c>
      <c r="E56" s="2075"/>
      <c r="F56" s="2076">
        <v>0</v>
      </c>
      <c r="G56" s="2076">
        <v>0</v>
      </c>
      <c r="H56" s="2076"/>
      <c r="I56" s="2076">
        <v>0</v>
      </c>
      <c r="J56" s="2076"/>
      <c r="K56" s="2076">
        <v>0</v>
      </c>
      <c r="L56" s="2076"/>
      <c r="M56" s="2076">
        <v>0</v>
      </c>
      <c r="N56" s="2076"/>
      <c r="O56" s="2076">
        <v>0</v>
      </c>
      <c r="P56" s="1282"/>
    </row>
    <row r="57" spans="2:16" s="999" customFormat="1" ht="15.75">
      <c r="B57" s="3295">
        <v>30143</v>
      </c>
      <c r="C57" s="2075"/>
      <c r="D57" s="1265" t="s">
        <v>890</v>
      </c>
      <c r="E57" s="2075"/>
      <c r="F57" s="2076">
        <v>0</v>
      </c>
      <c r="G57" s="2076">
        <v>0</v>
      </c>
      <c r="H57" s="2076"/>
      <c r="I57" s="2076">
        <v>0</v>
      </c>
      <c r="J57" s="2076"/>
      <c r="K57" s="2076">
        <v>0</v>
      </c>
      <c r="L57" s="2076"/>
      <c r="M57" s="2076">
        <v>0</v>
      </c>
      <c r="N57" s="2076"/>
      <c r="O57" s="2076">
        <v>0</v>
      </c>
      <c r="P57" s="1282"/>
    </row>
    <row r="58" spans="2:16" s="999" customFormat="1" ht="15.75">
      <c r="B58" s="3295">
        <v>30144</v>
      </c>
      <c r="C58" s="2075"/>
      <c r="D58" s="1265" t="s">
        <v>891</v>
      </c>
      <c r="E58" s="2075"/>
      <c r="F58" s="2076">
        <v>0</v>
      </c>
      <c r="G58" s="2076">
        <v>0</v>
      </c>
      <c r="H58" s="2076"/>
      <c r="I58" s="2076">
        <v>0</v>
      </c>
      <c r="J58" s="2076"/>
      <c r="K58" s="2076">
        <v>0</v>
      </c>
      <c r="L58" s="2076"/>
      <c r="M58" s="2076">
        <v>0</v>
      </c>
      <c r="N58" s="2076"/>
      <c r="O58" s="2076">
        <v>0</v>
      </c>
      <c r="P58" s="1282"/>
    </row>
    <row r="59" spans="2:16" s="999" customFormat="1" ht="15.75">
      <c r="B59" s="3295">
        <v>30145</v>
      </c>
      <c r="C59" s="2075"/>
      <c r="D59" s="1265" t="s">
        <v>892</v>
      </c>
      <c r="E59" s="2075"/>
      <c r="F59" s="2076">
        <v>0</v>
      </c>
      <c r="G59" s="2076">
        <v>0</v>
      </c>
      <c r="H59" s="2076"/>
      <c r="I59" s="2076">
        <v>0</v>
      </c>
      <c r="J59" s="2076"/>
      <c r="K59" s="2076">
        <v>0</v>
      </c>
      <c r="L59" s="2076"/>
      <c r="M59" s="2076">
        <v>0</v>
      </c>
      <c r="N59" s="2076"/>
      <c r="O59" s="2076">
        <v>0</v>
      </c>
      <c r="P59" s="1282"/>
    </row>
    <row r="60" spans="2:16" s="999" customFormat="1" ht="15.75">
      <c r="B60" s="3295">
        <v>30146</v>
      </c>
      <c r="C60" s="2075"/>
      <c r="D60" s="1265" t="s">
        <v>893</v>
      </c>
      <c r="E60" s="2075"/>
      <c r="F60" s="2076">
        <v>0</v>
      </c>
      <c r="G60" s="2076">
        <v>0</v>
      </c>
      <c r="H60" s="2076"/>
      <c r="I60" s="2076">
        <v>0</v>
      </c>
      <c r="J60" s="2076"/>
      <c r="K60" s="2076">
        <v>0</v>
      </c>
      <c r="L60" s="2076"/>
      <c r="M60" s="2076">
        <v>0</v>
      </c>
      <c r="N60" s="2076"/>
      <c r="O60" s="2076">
        <v>0</v>
      </c>
      <c r="P60" s="1282"/>
    </row>
    <row r="61" spans="2:16" s="999" customFormat="1" ht="15.75">
      <c r="B61" s="3295">
        <v>30147</v>
      </c>
      <c r="C61" s="2075"/>
      <c r="D61" s="1265" t="s">
        <v>894</v>
      </c>
      <c r="E61" s="2075"/>
      <c r="F61" s="2076">
        <v>0</v>
      </c>
      <c r="G61" s="2076">
        <v>0</v>
      </c>
      <c r="H61" s="2076"/>
      <c r="I61" s="2076">
        <v>0</v>
      </c>
      <c r="J61" s="2076"/>
      <c r="K61" s="2076">
        <v>0</v>
      </c>
      <c r="L61" s="2076"/>
      <c r="M61" s="2076">
        <v>36572.36</v>
      </c>
      <c r="N61" s="2076"/>
      <c r="O61" s="2076">
        <v>36572.36</v>
      </c>
      <c r="P61" s="1282"/>
    </row>
    <row r="62" spans="2:16" s="999" customFormat="1" ht="15.75">
      <c r="B62" s="3295">
        <v>30148</v>
      </c>
      <c r="C62" s="2075"/>
      <c r="D62" s="1265" t="s">
        <v>895</v>
      </c>
      <c r="E62" s="2075"/>
      <c r="F62" s="2076">
        <v>0</v>
      </c>
      <c r="G62" s="2076">
        <v>0</v>
      </c>
      <c r="H62" s="2076"/>
      <c r="I62" s="2076">
        <v>0</v>
      </c>
      <c r="J62" s="2076"/>
      <c r="K62" s="2076">
        <v>0</v>
      </c>
      <c r="L62" s="2076"/>
      <c r="M62" s="2076">
        <v>0</v>
      </c>
      <c r="N62" s="2076"/>
      <c r="O62" s="2076">
        <v>0</v>
      </c>
      <c r="P62" s="1282"/>
    </row>
    <row r="63" spans="2:16" s="999" customFormat="1" ht="15.75">
      <c r="B63" s="3295">
        <v>30149</v>
      </c>
      <c r="C63" s="2075"/>
      <c r="D63" s="1265" t="s">
        <v>896</v>
      </c>
      <c r="E63" s="2075"/>
      <c r="F63" s="2076">
        <v>0</v>
      </c>
      <c r="G63" s="2076">
        <v>0</v>
      </c>
      <c r="H63" s="2076"/>
      <c r="I63" s="2076">
        <v>0</v>
      </c>
      <c r="J63" s="2076"/>
      <c r="K63" s="2076">
        <v>0</v>
      </c>
      <c r="L63" s="2076"/>
      <c r="M63" s="2076">
        <v>0</v>
      </c>
      <c r="N63" s="2076"/>
      <c r="O63" s="2076">
        <v>0</v>
      </c>
      <c r="P63" s="1282"/>
    </row>
    <row r="64" spans="2:16" s="999" customFormat="1" ht="15.75">
      <c r="B64" s="3295">
        <v>30150</v>
      </c>
      <c r="C64" s="2075"/>
      <c r="D64" s="1265" t="s">
        <v>897</v>
      </c>
      <c r="E64" s="2075"/>
      <c r="F64" s="2076">
        <v>0</v>
      </c>
      <c r="G64" s="2076">
        <v>0</v>
      </c>
      <c r="H64" s="2076"/>
      <c r="I64" s="2076">
        <v>0</v>
      </c>
      <c r="J64" s="2076"/>
      <c r="K64" s="2076">
        <v>0</v>
      </c>
      <c r="L64" s="2076"/>
      <c r="M64" s="2076">
        <v>0</v>
      </c>
      <c r="N64" s="2076"/>
      <c r="O64" s="2076">
        <v>0</v>
      </c>
      <c r="P64" s="1282"/>
    </row>
    <row r="65" spans="2:16" s="999" customFormat="1" ht="15.75">
      <c r="B65" s="3295">
        <v>30151</v>
      </c>
      <c r="C65" s="2075"/>
      <c r="D65" s="1265" t="s">
        <v>898</v>
      </c>
      <c r="E65" s="2075"/>
      <c r="F65" s="2076">
        <v>0</v>
      </c>
      <c r="G65" s="2076">
        <v>0</v>
      </c>
      <c r="H65" s="2076"/>
      <c r="I65" s="2076">
        <v>0</v>
      </c>
      <c r="J65" s="2076"/>
      <c r="K65" s="2076">
        <v>0</v>
      </c>
      <c r="L65" s="2076"/>
      <c r="M65" s="2076">
        <v>0</v>
      </c>
      <c r="N65" s="2076"/>
      <c r="O65" s="2076">
        <v>0</v>
      </c>
      <c r="P65" s="1282"/>
    </row>
    <row r="66" spans="2:16" s="999" customFormat="1" ht="15.75">
      <c r="B66" s="3295">
        <v>30152</v>
      </c>
      <c r="C66" s="2075"/>
      <c r="D66" s="1265" t="s">
        <v>899</v>
      </c>
      <c r="E66" s="2075"/>
      <c r="F66" s="2076">
        <v>0</v>
      </c>
      <c r="G66" s="2076">
        <v>0</v>
      </c>
      <c r="H66" s="2076"/>
      <c r="I66" s="2076">
        <v>0</v>
      </c>
      <c r="J66" s="2076"/>
      <c r="K66" s="2076">
        <v>0</v>
      </c>
      <c r="L66" s="2076"/>
      <c r="M66" s="2076">
        <v>0</v>
      </c>
      <c r="N66" s="2076"/>
      <c r="O66" s="2076">
        <v>0</v>
      </c>
      <c r="P66" s="1282"/>
    </row>
    <row r="67" spans="2:16" s="999" customFormat="1" ht="15.75">
      <c r="B67" s="3295">
        <v>30153</v>
      </c>
      <c r="C67" s="2075"/>
      <c r="D67" s="1265" t="s">
        <v>900</v>
      </c>
      <c r="E67" s="2075"/>
      <c r="F67" s="2076">
        <v>0</v>
      </c>
      <c r="G67" s="2076">
        <v>0</v>
      </c>
      <c r="H67" s="2076"/>
      <c r="I67" s="2076">
        <v>0</v>
      </c>
      <c r="J67" s="2076"/>
      <c r="K67" s="2076">
        <v>0</v>
      </c>
      <c r="L67" s="2076"/>
      <c r="M67" s="2076">
        <v>0</v>
      </c>
      <c r="N67" s="2076"/>
      <c r="O67" s="2076">
        <v>0</v>
      </c>
      <c r="P67" s="1282"/>
    </row>
    <row r="68" spans="2:16" s="999" customFormat="1" ht="15.75">
      <c r="B68" s="3295">
        <v>30154</v>
      </c>
      <c r="C68" s="2075"/>
      <c r="D68" s="1265" t="s">
        <v>901</v>
      </c>
      <c r="E68" s="2075"/>
      <c r="F68" s="2076">
        <v>0</v>
      </c>
      <c r="G68" s="2076">
        <v>0</v>
      </c>
      <c r="H68" s="2076"/>
      <c r="I68" s="2076">
        <v>0</v>
      </c>
      <c r="J68" s="2076"/>
      <c r="K68" s="2076">
        <v>0</v>
      </c>
      <c r="L68" s="2076"/>
      <c r="M68" s="2076">
        <v>0</v>
      </c>
      <c r="N68" s="2076"/>
      <c r="O68" s="2076">
        <v>0</v>
      </c>
      <c r="P68" s="1282"/>
    </row>
    <row r="69" spans="2:16" s="999" customFormat="1" ht="15.75">
      <c r="B69" s="3295">
        <v>30351</v>
      </c>
      <c r="C69" s="2075"/>
      <c r="D69" s="1265" t="s">
        <v>902</v>
      </c>
      <c r="E69" s="2075"/>
      <c r="F69" s="2076">
        <v>72792259.140000001</v>
      </c>
      <c r="G69" s="2076">
        <v>79704354.620000005</v>
      </c>
      <c r="H69" s="2076"/>
      <c r="I69" s="2076">
        <v>87693212.120000005</v>
      </c>
      <c r="J69" s="2076"/>
      <c r="K69" s="2076">
        <v>95265459.310000002</v>
      </c>
      <c r="L69" s="2076"/>
      <c r="M69" s="2076">
        <v>6222069.2599999905</v>
      </c>
      <c r="N69" s="2076"/>
      <c r="O69" s="2076">
        <v>101487528.56999999</v>
      </c>
      <c r="P69" s="1282"/>
    </row>
    <row r="70" spans="2:16" s="999" customFormat="1" ht="15.75">
      <c r="B70" s="3295">
        <v>30501</v>
      </c>
      <c r="C70" s="2075"/>
      <c r="D70" s="1265" t="s">
        <v>903</v>
      </c>
      <c r="E70" s="2075"/>
      <c r="F70" s="2076">
        <v>169.29</v>
      </c>
      <c r="G70" s="2076">
        <v>169.29</v>
      </c>
      <c r="H70" s="2076"/>
      <c r="I70" s="2076">
        <v>169.29</v>
      </c>
      <c r="J70" s="2076"/>
      <c r="K70" s="2076">
        <v>169.29</v>
      </c>
      <c r="L70" s="2076"/>
      <c r="M70" s="2076">
        <v>0</v>
      </c>
      <c r="N70" s="2076"/>
      <c r="O70" s="2076">
        <v>169.29</v>
      </c>
      <c r="P70" s="1282"/>
    </row>
    <row r="71" spans="2:16" s="999" customFormat="1" ht="15.75">
      <c r="B71" s="3295">
        <v>30502</v>
      </c>
      <c r="C71" s="2075"/>
      <c r="D71" s="1265" t="s">
        <v>904</v>
      </c>
      <c r="E71" s="2075"/>
      <c r="F71" s="2076">
        <v>0</v>
      </c>
      <c r="G71" s="2076">
        <v>0</v>
      </c>
      <c r="H71" s="2076"/>
      <c r="I71" s="2076">
        <v>0</v>
      </c>
      <c r="J71" s="2076"/>
      <c r="K71" s="2076">
        <v>0</v>
      </c>
      <c r="L71" s="2076"/>
      <c r="M71" s="2076">
        <v>0</v>
      </c>
      <c r="N71" s="2076"/>
      <c r="O71" s="2076">
        <v>0</v>
      </c>
      <c r="P71" s="1282"/>
    </row>
    <row r="72" spans="2:16" s="999" customFormat="1" ht="15.75">
      <c r="B72" s="3295">
        <v>30503</v>
      </c>
      <c r="C72" s="2075"/>
      <c r="D72" s="1265" t="s">
        <v>905</v>
      </c>
      <c r="E72" s="2075"/>
      <c r="F72" s="2076">
        <v>0</v>
      </c>
      <c r="G72" s="2076">
        <v>0</v>
      </c>
      <c r="H72" s="2076"/>
      <c r="I72" s="2076">
        <v>0</v>
      </c>
      <c r="J72" s="2076"/>
      <c r="K72" s="2076">
        <v>0</v>
      </c>
      <c r="L72" s="2076"/>
      <c r="M72" s="2076">
        <v>0</v>
      </c>
      <c r="N72" s="2076"/>
      <c r="O72" s="2076">
        <v>0</v>
      </c>
      <c r="P72" s="1282"/>
    </row>
    <row r="73" spans="2:16" s="999" customFormat="1" ht="15.75">
      <c r="B73" s="3295">
        <v>30504</v>
      </c>
      <c r="C73" s="2075"/>
      <c r="D73" s="1271" t="s">
        <v>906</v>
      </c>
      <c r="E73" s="2075"/>
      <c r="F73" s="2076">
        <v>0</v>
      </c>
      <c r="G73" s="2076">
        <v>0</v>
      </c>
      <c r="H73" s="2076"/>
      <c r="I73" s="2076">
        <v>0</v>
      </c>
      <c r="J73" s="2076"/>
      <c r="K73" s="2076">
        <v>0</v>
      </c>
      <c r="L73" s="2076"/>
      <c r="M73" s="2076">
        <v>0</v>
      </c>
      <c r="N73" s="2076"/>
      <c r="O73" s="2076">
        <v>0</v>
      </c>
      <c r="P73" s="1282"/>
    </row>
    <row r="74" spans="2:16" s="999" customFormat="1" ht="15.75">
      <c r="B74" s="3295">
        <v>31506</v>
      </c>
      <c r="C74" s="1272"/>
      <c r="D74" s="1273" t="s">
        <v>907</v>
      </c>
      <c r="E74" s="1274"/>
      <c r="F74" s="2076">
        <v>109849194.79000001</v>
      </c>
      <c r="G74" s="2076">
        <v>87169481.469999999</v>
      </c>
      <c r="H74" s="2076"/>
      <c r="I74" s="2076">
        <v>95835815.939999998</v>
      </c>
      <c r="J74" s="2076"/>
      <c r="K74" s="2076">
        <v>101948232.93000001</v>
      </c>
      <c r="L74" s="2076"/>
      <c r="M74" s="2076">
        <v>-3610601.4100000113</v>
      </c>
      <c r="N74" s="2076"/>
      <c r="O74" s="2076">
        <v>98337631.519999996</v>
      </c>
      <c r="P74" s="1282"/>
    </row>
    <row r="75" spans="2:16" s="999" customFormat="1" ht="15.75">
      <c r="B75" s="3295">
        <v>31701</v>
      </c>
      <c r="C75" s="2075"/>
      <c r="D75" s="1265" t="s">
        <v>908</v>
      </c>
      <c r="E75" s="2075"/>
      <c r="F75" s="2076">
        <v>7423246.6200000001</v>
      </c>
      <c r="G75" s="2076">
        <v>7071091.4500000002</v>
      </c>
      <c r="H75" s="2076"/>
      <c r="I75" s="2076">
        <v>8096765.0199999996</v>
      </c>
      <c r="J75" s="2076"/>
      <c r="K75" s="2076">
        <v>4030091.53</v>
      </c>
      <c r="L75" s="2076"/>
      <c r="M75" s="2076">
        <v>2043818.9899999998</v>
      </c>
      <c r="N75" s="2076"/>
      <c r="O75" s="2076">
        <v>6073910.5199999996</v>
      </c>
      <c r="P75" s="1282"/>
    </row>
    <row r="76" spans="2:16" s="999" customFormat="1" ht="15.75">
      <c r="B76" s="3295">
        <v>31801</v>
      </c>
      <c r="C76" s="2075"/>
      <c r="D76" s="1265" t="s">
        <v>909</v>
      </c>
      <c r="E76" s="2075"/>
      <c r="F76" s="2076">
        <v>13150846.050000001</v>
      </c>
      <c r="G76" s="2076">
        <v>13150846.050000001</v>
      </c>
      <c r="H76" s="2076"/>
      <c r="I76" s="2076">
        <v>13150846.050000001</v>
      </c>
      <c r="J76" s="2076"/>
      <c r="K76" s="2076">
        <v>13150846.050000001</v>
      </c>
      <c r="L76" s="2076"/>
      <c r="M76" s="2076">
        <v>0</v>
      </c>
      <c r="N76" s="2076"/>
      <c r="O76" s="2076">
        <v>13150846.050000001</v>
      </c>
      <c r="P76" s="1282"/>
    </row>
    <row r="77" spans="2:16" s="999" customFormat="1" ht="15.75">
      <c r="B77" s="3295">
        <v>31851</v>
      </c>
      <c r="C77" s="2075"/>
      <c r="D77" s="1271" t="s">
        <v>910</v>
      </c>
      <c r="E77" s="2075"/>
      <c r="F77" s="2076">
        <v>0</v>
      </c>
      <c r="G77" s="2076">
        <v>11439454.720000001</v>
      </c>
      <c r="H77" s="2076"/>
      <c r="I77" s="2076">
        <v>11439454.720000001</v>
      </c>
      <c r="J77" s="2076"/>
      <c r="K77" s="2076">
        <v>0</v>
      </c>
      <c r="L77" s="2076"/>
      <c r="M77" s="2076">
        <v>0</v>
      </c>
      <c r="N77" s="2076"/>
      <c r="O77" s="2076">
        <v>0</v>
      </c>
      <c r="P77" s="1282"/>
    </row>
    <row r="78" spans="2:16" s="999" customFormat="1" ht="15.75">
      <c r="B78" s="3295">
        <v>31852</v>
      </c>
      <c r="C78" s="2075"/>
      <c r="D78" s="1265" t="s">
        <v>911</v>
      </c>
      <c r="E78" s="2075"/>
      <c r="F78" s="2076">
        <v>40679225.310000002</v>
      </c>
      <c r="G78" s="2076">
        <v>46229225.310000002</v>
      </c>
      <c r="H78" s="2076"/>
      <c r="I78" s="2076">
        <v>46229225.310000002</v>
      </c>
      <c r="J78" s="2076"/>
      <c r="K78" s="2076">
        <v>46229225.310000002</v>
      </c>
      <c r="L78" s="2076"/>
      <c r="M78" s="2076">
        <v>0</v>
      </c>
      <c r="N78" s="2076"/>
      <c r="O78" s="2076">
        <v>46229225.310000002</v>
      </c>
      <c r="P78" s="1282"/>
    </row>
    <row r="79" spans="2:16" s="999" customFormat="1" ht="15.75">
      <c r="B79" s="3295">
        <v>31853</v>
      </c>
      <c r="C79" s="2075"/>
      <c r="D79" s="1271" t="s">
        <v>912</v>
      </c>
      <c r="E79" s="2075"/>
      <c r="F79" s="2076">
        <v>76297899.909999996</v>
      </c>
      <c r="G79" s="2076">
        <v>89306404.829999998</v>
      </c>
      <c r="H79" s="2076"/>
      <c r="I79" s="2076">
        <v>89319481.030000001</v>
      </c>
      <c r="J79" s="2076"/>
      <c r="K79" s="2076">
        <v>89335816.920000002</v>
      </c>
      <c r="L79" s="2076"/>
      <c r="M79" s="2076">
        <v>-119119.5</v>
      </c>
      <c r="N79" s="2076"/>
      <c r="O79" s="2076">
        <v>89216697.420000002</v>
      </c>
      <c r="P79" s="1282"/>
    </row>
    <row r="80" spans="2:16" s="999" customFormat="1" ht="15.75">
      <c r="B80" s="3295">
        <v>31854</v>
      </c>
      <c r="C80" s="2075"/>
      <c r="D80" s="1265" t="s">
        <v>913</v>
      </c>
      <c r="E80" s="2075"/>
      <c r="F80" s="2076">
        <v>0</v>
      </c>
      <c r="G80" s="2076">
        <v>0</v>
      </c>
      <c r="H80" s="2076"/>
      <c r="I80" s="2076">
        <v>0</v>
      </c>
      <c r="J80" s="2076"/>
      <c r="K80" s="2076">
        <v>0</v>
      </c>
      <c r="L80" s="2076"/>
      <c r="M80" s="2076">
        <v>0</v>
      </c>
      <c r="N80" s="2076"/>
      <c r="O80" s="2076">
        <v>0</v>
      </c>
      <c r="P80" s="1282"/>
    </row>
    <row r="81" spans="2:16" s="999" customFormat="1" ht="15.75">
      <c r="B81" s="3295">
        <v>31951</v>
      </c>
      <c r="C81" s="2075"/>
      <c r="D81" s="1271" t="s">
        <v>914</v>
      </c>
      <c r="E81" s="2075"/>
      <c r="F81" s="2076">
        <v>12348115.710000001</v>
      </c>
      <c r="G81" s="2076">
        <v>12470709.939999999</v>
      </c>
      <c r="H81" s="2076"/>
      <c r="I81" s="2076">
        <v>12492211.939999999</v>
      </c>
      <c r="J81" s="2076"/>
      <c r="K81" s="2076">
        <v>12498223.630000001</v>
      </c>
      <c r="L81" s="2076"/>
      <c r="M81" s="2076">
        <v>2793.0399999991059</v>
      </c>
      <c r="N81" s="2076"/>
      <c r="O81" s="2076">
        <v>12501016.67</v>
      </c>
      <c r="P81" s="1282"/>
    </row>
    <row r="82" spans="2:16" s="999" customFormat="1" ht="15.75">
      <c r="B82" s="3295">
        <v>32213</v>
      </c>
      <c r="C82" s="2075"/>
      <c r="D82" s="1265" t="s">
        <v>915</v>
      </c>
      <c r="E82" s="2075"/>
      <c r="F82" s="2076">
        <v>153750</v>
      </c>
      <c r="G82" s="2076">
        <v>338750</v>
      </c>
      <c r="H82" s="2076"/>
      <c r="I82" s="2076">
        <v>438750</v>
      </c>
      <c r="J82" s="2076"/>
      <c r="K82" s="2076">
        <v>438750</v>
      </c>
      <c r="L82" s="2076"/>
      <c r="M82" s="2076">
        <v>0</v>
      </c>
      <c r="N82" s="2076"/>
      <c r="O82" s="2076">
        <v>438750</v>
      </c>
      <c r="P82" s="1282"/>
    </row>
    <row r="83" spans="2:16" s="999" customFormat="1" ht="15.75">
      <c r="B83" s="3295">
        <v>32301</v>
      </c>
      <c r="C83" s="2075"/>
      <c r="D83" s="1271" t="s">
        <v>916</v>
      </c>
      <c r="E83" s="1274"/>
      <c r="F83" s="2076">
        <v>0</v>
      </c>
      <c r="G83" s="2076">
        <v>0</v>
      </c>
      <c r="H83" s="2076"/>
      <c r="I83" s="2076">
        <v>0</v>
      </c>
      <c r="J83" s="2076"/>
      <c r="K83" s="2076">
        <v>0</v>
      </c>
      <c r="L83" s="2076"/>
      <c r="M83" s="2076">
        <v>0</v>
      </c>
      <c r="N83" s="2076"/>
      <c r="O83" s="2076">
        <v>0</v>
      </c>
      <c r="P83" s="1282"/>
    </row>
    <row r="84" spans="2:16" s="999" customFormat="1" ht="15.75">
      <c r="B84" s="3295">
        <v>32302</v>
      </c>
      <c r="C84" s="2075"/>
      <c r="D84" s="1271" t="s">
        <v>1418</v>
      </c>
      <c r="E84" s="1274"/>
      <c r="F84" s="2076">
        <v>0</v>
      </c>
      <c r="G84" s="2076">
        <v>0</v>
      </c>
      <c r="H84" s="2076"/>
      <c r="I84" s="2076">
        <v>0</v>
      </c>
      <c r="J84" s="2076"/>
      <c r="K84" s="2076">
        <v>0</v>
      </c>
      <c r="L84" s="2076"/>
      <c r="M84" s="2076">
        <v>0</v>
      </c>
      <c r="N84" s="2076"/>
      <c r="O84" s="2076">
        <v>0</v>
      </c>
      <c r="P84" s="1282"/>
    </row>
    <row r="85" spans="2:16" s="999" customFormat="1" ht="15.75">
      <c r="B85" s="3295">
        <v>32303</v>
      </c>
      <c r="C85" s="2075"/>
      <c r="D85" s="1265" t="s">
        <v>917</v>
      </c>
      <c r="E85" s="1274"/>
      <c r="F85" s="2076">
        <v>87723047.260000005</v>
      </c>
      <c r="G85" s="2076">
        <v>91677004.120000005</v>
      </c>
      <c r="H85" s="2076"/>
      <c r="I85" s="2076">
        <v>93285057.849999994</v>
      </c>
      <c r="J85" s="2076"/>
      <c r="K85" s="2076">
        <v>93870485.329999998</v>
      </c>
      <c r="L85" s="2076"/>
      <c r="M85" s="2076">
        <v>1239884.9699999988</v>
      </c>
      <c r="N85" s="2076"/>
      <c r="O85" s="2076">
        <v>95110370.299999997</v>
      </c>
      <c r="P85" s="1282"/>
    </row>
    <row r="86" spans="2:16" s="999" customFormat="1" ht="15.75">
      <c r="B86" s="3295">
        <v>32304</v>
      </c>
      <c r="C86" s="2075"/>
      <c r="D86" s="1265" t="s">
        <v>1419</v>
      </c>
      <c r="E86" s="1274"/>
      <c r="F86" s="2076">
        <v>0</v>
      </c>
      <c r="G86" s="2076">
        <v>0</v>
      </c>
      <c r="H86" s="2076"/>
      <c r="I86" s="2076">
        <v>0</v>
      </c>
      <c r="J86" s="2076"/>
      <c r="K86" s="2076">
        <v>0</v>
      </c>
      <c r="L86" s="2076"/>
      <c r="M86" s="2076">
        <v>0</v>
      </c>
      <c r="N86" s="2076"/>
      <c r="O86" s="2076">
        <v>0</v>
      </c>
      <c r="P86" s="1282"/>
    </row>
    <row r="87" spans="2:16" s="999" customFormat="1" ht="15.75">
      <c r="B87" s="3295">
        <v>32305</v>
      </c>
      <c r="C87" s="2075"/>
      <c r="D87" s="1265" t="s">
        <v>918</v>
      </c>
      <c r="E87" s="1274"/>
      <c r="F87" s="2076">
        <v>172362230.61000001</v>
      </c>
      <c r="G87" s="2076">
        <v>179113696.53999999</v>
      </c>
      <c r="H87" s="2076"/>
      <c r="I87" s="2076">
        <v>179981473.90000001</v>
      </c>
      <c r="J87" s="2076"/>
      <c r="K87" s="2076">
        <v>179128158.97999999</v>
      </c>
      <c r="L87" s="2076"/>
      <c r="M87" s="2076">
        <v>2565918.0400000215</v>
      </c>
      <c r="N87" s="2076"/>
      <c r="O87" s="2076">
        <v>181694077.02000001</v>
      </c>
      <c r="P87" s="1282"/>
    </row>
    <row r="88" spans="2:16" s="999" customFormat="1" ht="15.75">
      <c r="B88" s="3295">
        <v>32306</v>
      </c>
      <c r="C88" s="2075"/>
      <c r="D88" s="1271" t="s">
        <v>919</v>
      </c>
      <c r="E88" s="1274"/>
      <c r="F88" s="2076">
        <v>26767629.280000001</v>
      </c>
      <c r="G88" s="2076">
        <v>33087538.079999998</v>
      </c>
      <c r="H88" s="2076"/>
      <c r="I88" s="2076">
        <v>34107385.829999998</v>
      </c>
      <c r="J88" s="2076"/>
      <c r="K88" s="2076">
        <v>35015275.859999999</v>
      </c>
      <c r="L88" s="2076"/>
      <c r="M88" s="2076">
        <v>-4724271.1099999994</v>
      </c>
      <c r="N88" s="2076"/>
      <c r="O88" s="2076">
        <v>30291004.75</v>
      </c>
      <c r="P88" s="1282"/>
    </row>
    <row r="89" spans="2:16" s="999" customFormat="1" ht="15.75">
      <c r="B89" s="3295">
        <v>32307</v>
      </c>
      <c r="C89" s="2075"/>
      <c r="D89" s="1271" t="s">
        <v>920</v>
      </c>
      <c r="E89" s="1274"/>
      <c r="F89" s="2076">
        <v>5430710.0300000003</v>
      </c>
      <c r="G89" s="2076">
        <v>8840710.0299999993</v>
      </c>
      <c r="H89" s="2076"/>
      <c r="I89" s="2076">
        <v>8840710.0299999993</v>
      </c>
      <c r="J89" s="2076"/>
      <c r="K89" s="2076">
        <v>8840710.0299999993</v>
      </c>
      <c r="L89" s="2076"/>
      <c r="M89" s="2076">
        <v>-3072583.7199999988</v>
      </c>
      <c r="N89" s="2076"/>
      <c r="O89" s="2076">
        <v>5768126.3100000005</v>
      </c>
      <c r="P89" s="1282"/>
    </row>
    <row r="90" spans="2:16" s="999" customFormat="1" ht="15.75">
      <c r="B90" s="3295">
        <v>32308</v>
      </c>
      <c r="C90" s="2075"/>
      <c r="D90" s="1271" t="s">
        <v>921</v>
      </c>
      <c r="E90" s="1274"/>
      <c r="F90" s="2076">
        <v>539890.44999999995</v>
      </c>
      <c r="G90" s="2076">
        <v>767890.45000000007</v>
      </c>
      <c r="H90" s="2076"/>
      <c r="I90" s="2076">
        <v>767890.45000000007</v>
      </c>
      <c r="J90" s="2076"/>
      <c r="K90" s="2076">
        <v>767890.45000000007</v>
      </c>
      <c r="L90" s="2076"/>
      <c r="M90" s="2076">
        <v>-489344.76000000007</v>
      </c>
      <c r="N90" s="2076"/>
      <c r="O90" s="2076">
        <v>278545.69</v>
      </c>
      <c r="P90" s="1282"/>
    </row>
    <row r="91" spans="2:16" s="999" customFormat="1" ht="15.75">
      <c r="B91" s="3295">
        <v>32309</v>
      </c>
      <c r="C91" s="2075"/>
      <c r="D91" s="1271" t="s">
        <v>922</v>
      </c>
      <c r="E91" s="1274"/>
      <c r="F91" s="2076">
        <v>104401100.42</v>
      </c>
      <c r="G91" s="2076">
        <v>116260380.62</v>
      </c>
      <c r="H91" s="2076"/>
      <c r="I91" s="2076">
        <v>119374541.52</v>
      </c>
      <c r="J91" s="2076"/>
      <c r="K91" s="2076">
        <v>125441044.23999999</v>
      </c>
      <c r="L91" s="2076"/>
      <c r="M91" s="2076">
        <v>-5859644.4499999881</v>
      </c>
      <c r="N91" s="2076"/>
      <c r="O91" s="2076">
        <v>119581399.79000001</v>
      </c>
      <c r="P91" s="1282"/>
    </row>
    <row r="92" spans="2:16" s="999" customFormat="1" ht="15.75">
      <c r="B92" s="3295">
        <v>32310</v>
      </c>
      <c r="C92" s="2075"/>
      <c r="D92" s="1271" t="s">
        <v>923</v>
      </c>
      <c r="E92" s="1274"/>
      <c r="F92" s="2076">
        <v>0</v>
      </c>
      <c r="G92" s="2076">
        <v>0</v>
      </c>
      <c r="H92" s="2076"/>
      <c r="I92" s="2076">
        <v>0</v>
      </c>
      <c r="J92" s="2076"/>
      <c r="K92" s="2076">
        <v>0</v>
      </c>
      <c r="L92" s="2076"/>
      <c r="M92" s="2076">
        <v>0</v>
      </c>
      <c r="N92" s="2076"/>
      <c r="O92" s="2076">
        <v>0</v>
      </c>
      <c r="P92" s="1282"/>
    </row>
    <row r="93" spans="2:16" s="999" customFormat="1" ht="17.25">
      <c r="B93" s="3295">
        <v>32311</v>
      </c>
      <c r="C93" s="2075"/>
      <c r="D93" s="2077" t="s">
        <v>924</v>
      </c>
      <c r="E93" s="1274"/>
      <c r="F93" s="2076">
        <v>2486315.4700000002</v>
      </c>
      <c r="G93" s="2076">
        <v>479822.3</v>
      </c>
      <c r="H93" s="2076"/>
      <c r="I93" s="2076">
        <v>848171.01</v>
      </c>
      <c r="J93" s="2076"/>
      <c r="K93" s="2076">
        <v>1001820.45</v>
      </c>
      <c r="L93" s="2076"/>
      <c r="M93" s="2076">
        <v>83258.300000000047</v>
      </c>
      <c r="N93" s="2076"/>
      <c r="O93" s="2076">
        <v>1085078.75</v>
      </c>
      <c r="P93" s="1282"/>
    </row>
    <row r="94" spans="2:16" s="999" customFormat="1" ht="15.75">
      <c r="B94" s="3295">
        <v>32351</v>
      </c>
      <c r="C94" s="2075"/>
      <c r="D94" s="1271" t="s">
        <v>925</v>
      </c>
      <c r="E94" s="1274"/>
      <c r="F94" s="2076">
        <v>11110.01</v>
      </c>
      <c r="G94" s="2076">
        <v>11110.01</v>
      </c>
      <c r="H94" s="2076"/>
      <c r="I94" s="2076">
        <v>11110.01</v>
      </c>
      <c r="J94" s="2076"/>
      <c r="K94" s="2076">
        <v>11110.01</v>
      </c>
      <c r="L94" s="2076"/>
      <c r="M94" s="2076">
        <v>0</v>
      </c>
      <c r="N94" s="2076"/>
      <c r="O94" s="2076">
        <v>11110.01</v>
      </c>
      <c r="P94" s="1282"/>
    </row>
    <row r="95" spans="2:16" s="999" customFormat="1" ht="15.75">
      <c r="B95" s="3295">
        <v>32352</v>
      </c>
      <c r="C95" s="2075"/>
      <c r="D95" s="1265" t="s">
        <v>926</v>
      </c>
      <c r="E95" s="1274"/>
      <c r="F95" s="2076">
        <v>65245293.57</v>
      </c>
      <c r="G95" s="2076">
        <v>64060702.159999996</v>
      </c>
      <c r="H95" s="2076"/>
      <c r="I95" s="2076">
        <v>81944196.980000004</v>
      </c>
      <c r="J95" s="2076"/>
      <c r="K95" s="2076">
        <v>100338146.48</v>
      </c>
      <c r="L95" s="2076"/>
      <c r="M95" s="2076">
        <v>18319110.829999998</v>
      </c>
      <c r="N95" s="2076"/>
      <c r="O95" s="2076">
        <v>118657257.31</v>
      </c>
      <c r="P95" s="1356"/>
    </row>
    <row r="96" spans="2:16" s="999" customFormat="1" ht="15.75">
      <c r="B96" s="3295">
        <v>33001</v>
      </c>
      <c r="C96" s="2075"/>
      <c r="D96" s="1265" t="s">
        <v>927</v>
      </c>
      <c r="E96" s="1274"/>
      <c r="F96" s="2076">
        <v>10000000</v>
      </c>
      <c r="G96" s="2076">
        <v>10001126.050000001</v>
      </c>
      <c r="H96" s="2076"/>
      <c r="I96" s="2076">
        <v>10001126.050000001</v>
      </c>
      <c r="J96" s="2076"/>
      <c r="K96" s="2076">
        <v>10001126.050000001</v>
      </c>
      <c r="L96" s="2076"/>
      <c r="M96" s="2076">
        <v>0</v>
      </c>
      <c r="N96" s="2076"/>
      <c r="O96" s="2076">
        <v>10001126.050000001</v>
      </c>
      <c r="P96" s="1282"/>
    </row>
    <row r="97" spans="2:16" s="999" customFormat="1" ht="16.5" thickBot="1">
      <c r="B97" s="1800"/>
      <c r="C97" s="1801"/>
      <c r="D97" s="1268" t="s">
        <v>928</v>
      </c>
      <c r="E97" s="1346"/>
      <c r="F97" s="1346"/>
      <c r="G97" s="2689">
        <f>ROUND(SUM(G14:G96),2)</f>
        <v>1179382929.73</v>
      </c>
      <c r="H97" s="3300"/>
      <c r="I97" s="2689">
        <f>ROUND(SUM(I14:I96),2)</f>
        <v>1256393174.52</v>
      </c>
      <c r="J97" s="3300"/>
      <c r="K97" s="2689">
        <f>ROUND(SUM(K14:K96),2)</f>
        <v>1683206917.6500001</v>
      </c>
      <c r="L97" s="3300"/>
      <c r="M97" s="2689">
        <f>ROUND(SUM(M14:M96),2)</f>
        <v>-7357573.7199999997</v>
      </c>
      <c r="N97" s="3300"/>
      <c r="O97" s="2689">
        <f>ROUND(SUM(O14:O96),2)</f>
        <v>1675849343.9300001</v>
      </c>
      <c r="P97" s="1282"/>
    </row>
    <row r="98" spans="2:16" s="999" customFormat="1" ht="16.5" thickTop="1">
      <c r="B98" s="1802"/>
      <c r="C98" s="1802"/>
      <c r="D98" s="1803"/>
      <c r="E98" s="1351"/>
      <c r="F98" s="1351"/>
      <c r="G98" s="1804"/>
      <c r="H98" s="1238"/>
      <c r="I98" s="1804"/>
      <c r="J98" s="1238"/>
      <c r="K98" s="1804"/>
      <c r="L98" s="1238"/>
      <c r="M98" s="1805"/>
      <c r="N98" s="1806"/>
      <c r="O98" s="1804"/>
      <c r="P98" s="1357"/>
    </row>
    <row r="99" spans="2:16" s="999" customFormat="1" ht="15.75">
      <c r="B99" s="1463"/>
      <c r="C99" s="1801"/>
      <c r="D99" s="1807" t="s">
        <v>929</v>
      </c>
      <c r="E99" s="1808"/>
      <c r="F99" s="1808"/>
      <c r="G99" s="1798"/>
      <c r="H99" s="1798"/>
      <c r="I99" s="1798"/>
      <c r="J99" s="1798"/>
      <c r="K99" s="1798"/>
      <c r="L99" s="1798"/>
      <c r="M99" s="1809"/>
      <c r="N99" s="1809"/>
      <c r="O99" s="1798"/>
      <c r="P99" s="1351"/>
    </row>
    <row r="100" spans="2:16" s="999" customFormat="1" ht="15.75">
      <c r="B100" s="3013">
        <v>20451</v>
      </c>
      <c r="C100" s="1802"/>
      <c r="D100" s="1277" t="s">
        <v>930</v>
      </c>
      <c r="E100" s="1351"/>
      <c r="F100" s="1351"/>
      <c r="G100" s="1810">
        <v>0</v>
      </c>
      <c r="H100" s="1798"/>
      <c r="I100" s="1810">
        <v>0</v>
      </c>
      <c r="J100" s="1798"/>
      <c r="K100" s="1810">
        <v>0</v>
      </c>
      <c r="L100" s="1798"/>
      <c r="M100" s="1810">
        <v>0</v>
      </c>
      <c r="N100" s="1810"/>
      <c r="O100" s="1810">
        <v>0</v>
      </c>
      <c r="P100" s="1351"/>
    </row>
    <row r="101" spans="2:16" s="999" customFormat="1" ht="15.75">
      <c r="B101" s="3295">
        <v>20452</v>
      </c>
      <c r="C101" s="1463"/>
      <c r="D101" s="1265" t="s">
        <v>931</v>
      </c>
      <c r="E101"/>
      <c r="F101" s="1463"/>
      <c r="G101" s="2076">
        <v>0</v>
      </c>
      <c r="H101" s="1798"/>
      <c r="I101" s="2076">
        <v>0</v>
      </c>
      <c r="J101" s="1798"/>
      <c r="K101" s="2076">
        <v>0</v>
      </c>
      <c r="L101" s="1798"/>
      <c r="M101" s="2076">
        <v>0</v>
      </c>
      <c r="N101" s="1798"/>
      <c r="O101" s="2076">
        <v>0</v>
      </c>
      <c r="P101" s="1282"/>
    </row>
    <row r="102" spans="2:16" s="999" customFormat="1" ht="15.75">
      <c r="B102" s="3295">
        <v>20501</v>
      </c>
      <c r="C102" s="1811"/>
      <c r="D102" s="1265" t="s">
        <v>932</v>
      </c>
      <c r="E102" s="1799"/>
      <c r="F102" s="1799"/>
      <c r="G102" s="2076">
        <v>0</v>
      </c>
      <c r="H102" s="1798"/>
      <c r="I102" s="2076">
        <v>0</v>
      </c>
      <c r="J102" s="1798"/>
      <c r="K102" s="2076">
        <v>0</v>
      </c>
      <c r="L102" s="1798"/>
      <c r="M102" s="2076">
        <v>0</v>
      </c>
      <c r="N102" s="1798"/>
      <c r="O102" s="2076">
        <v>0</v>
      </c>
      <c r="P102" s="1282"/>
    </row>
    <row r="103" spans="2:16" s="999" customFormat="1" ht="15.75">
      <c r="B103" s="3295">
        <v>20810</v>
      </c>
      <c r="C103" s="1272"/>
      <c r="D103" s="1276" t="s">
        <v>933</v>
      </c>
      <c r="E103" s="1274"/>
      <c r="F103" s="1274"/>
      <c r="G103" s="2076">
        <v>74108354.769999996</v>
      </c>
      <c r="H103" s="1798"/>
      <c r="I103" s="2076">
        <v>68191149.079999998</v>
      </c>
      <c r="J103" s="1798"/>
      <c r="K103" s="2076">
        <v>90890238.260000005</v>
      </c>
      <c r="L103" s="1798"/>
      <c r="M103" s="2076">
        <v>22965539.459999993</v>
      </c>
      <c r="N103" s="1798"/>
      <c r="O103" s="2076">
        <v>113855777.72</v>
      </c>
      <c r="P103" s="1282"/>
    </row>
    <row r="104" spans="2:16" s="999" customFormat="1" ht="15.75">
      <c r="B104" s="3295">
        <v>20812</v>
      </c>
      <c r="C104" s="1272"/>
      <c r="D104" s="1276" t="s">
        <v>934</v>
      </c>
      <c r="E104" s="1274"/>
      <c r="F104" s="1274"/>
      <c r="G104" s="2076">
        <v>65.53</v>
      </c>
      <c r="H104" s="1798"/>
      <c r="I104" s="2076">
        <v>65.540000000000006</v>
      </c>
      <c r="J104" s="1798"/>
      <c r="K104" s="2076">
        <v>65.55</v>
      </c>
      <c r="L104" s="1798"/>
      <c r="M104" s="2076">
        <v>0</v>
      </c>
      <c r="N104" s="1798"/>
      <c r="O104" s="2076">
        <v>65.55</v>
      </c>
      <c r="P104" s="1282"/>
    </row>
    <row r="105" spans="2:16" s="999" customFormat="1" ht="15.75">
      <c r="B105" s="3295">
        <v>20818</v>
      </c>
      <c r="C105" s="1272"/>
      <c r="D105" s="1276" t="s">
        <v>935</v>
      </c>
      <c r="E105" s="1274"/>
      <c r="F105" s="1274"/>
      <c r="G105" s="2076">
        <v>0</v>
      </c>
      <c r="H105" s="1798"/>
      <c r="I105" s="2076">
        <v>0</v>
      </c>
      <c r="J105" s="1798"/>
      <c r="K105" s="2076">
        <v>12610466.15</v>
      </c>
      <c r="L105" s="1798"/>
      <c r="M105" s="2076">
        <v>12154342.17</v>
      </c>
      <c r="N105" s="1798"/>
      <c r="O105" s="2076">
        <v>24764808.32</v>
      </c>
      <c r="P105" s="1282"/>
    </row>
    <row r="106" spans="2:16" s="999" customFormat="1" ht="15.75">
      <c r="B106" s="3295">
        <v>20901</v>
      </c>
      <c r="C106" s="1272"/>
      <c r="D106" s="1276" t="s">
        <v>936</v>
      </c>
      <c r="E106" s="1274"/>
      <c r="F106" s="1274"/>
      <c r="G106" s="2076">
        <v>0</v>
      </c>
      <c r="H106" s="1798"/>
      <c r="I106" s="2076">
        <v>0</v>
      </c>
      <c r="J106" s="1798"/>
      <c r="K106" s="2076">
        <v>1345329395.1300001</v>
      </c>
      <c r="L106" s="1798"/>
      <c r="M106" s="2076">
        <v>-168276592.56000018</v>
      </c>
      <c r="N106" s="1798"/>
      <c r="O106" s="2076">
        <v>1177052802.5699999</v>
      </c>
      <c r="P106" s="1282"/>
    </row>
    <row r="107" spans="2:16" s="999" customFormat="1" ht="15.75">
      <c r="B107" s="3295">
        <v>20904</v>
      </c>
      <c r="C107" s="1269"/>
      <c r="D107" s="1277" t="s">
        <v>937</v>
      </c>
      <c r="E107" s="1281"/>
      <c r="F107" s="1281"/>
      <c r="G107" s="2076">
        <v>0</v>
      </c>
      <c r="H107" s="1798"/>
      <c r="I107" s="2076">
        <v>0</v>
      </c>
      <c r="J107" s="1798"/>
      <c r="K107" s="2076">
        <v>0</v>
      </c>
      <c r="L107" s="1798"/>
      <c r="M107" s="2076">
        <v>0</v>
      </c>
      <c r="N107" s="1798"/>
      <c r="O107" s="2076">
        <v>0</v>
      </c>
      <c r="P107" s="1282"/>
    </row>
    <row r="108" spans="2:16" s="999" customFormat="1" ht="15.75">
      <c r="B108" s="3295">
        <v>21001</v>
      </c>
      <c r="C108" s="1272"/>
      <c r="D108" s="1278" t="s">
        <v>938</v>
      </c>
      <c r="E108" s="1274"/>
      <c r="F108" s="1274"/>
      <c r="G108" s="2076">
        <v>0</v>
      </c>
      <c r="H108" s="1798"/>
      <c r="I108" s="2076">
        <v>0</v>
      </c>
      <c r="J108" s="1798"/>
      <c r="K108" s="2076">
        <v>0</v>
      </c>
      <c r="L108" s="1798"/>
      <c r="M108" s="2076">
        <v>0</v>
      </c>
      <c r="N108" s="1798"/>
      <c r="O108" s="2076">
        <v>0</v>
      </c>
      <c r="P108" s="1282"/>
    </row>
    <row r="109" spans="2:16" s="999" customFormat="1" ht="15.75">
      <c r="B109" s="3295">
        <v>21002</v>
      </c>
      <c r="C109" s="1272"/>
      <c r="D109" s="1276" t="s">
        <v>939</v>
      </c>
      <c r="E109" s="1274"/>
      <c r="F109" s="1274"/>
      <c r="G109" s="2076">
        <v>1019465.07</v>
      </c>
      <c r="H109" s="1798"/>
      <c r="I109" s="2076">
        <v>1508741.21</v>
      </c>
      <c r="J109" s="1798"/>
      <c r="K109" s="2076">
        <v>1690958.01</v>
      </c>
      <c r="L109" s="1798"/>
      <c r="M109" s="2076">
        <v>602843.05000000005</v>
      </c>
      <c r="N109" s="1798"/>
      <c r="O109" s="2076">
        <v>2293801.06</v>
      </c>
      <c r="P109" s="1282"/>
    </row>
    <row r="110" spans="2:16" s="999" customFormat="1" ht="15.75">
      <c r="B110" s="3295">
        <v>21053</v>
      </c>
      <c r="C110" s="1272"/>
      <c r="D110" s="1276" t="s">
        <v>1324</v>
      </c>
      <c r="E110" s="1274"/>
      <c r="F110" s="1274"/>
      <c r="G110" s="2076">
        <v>0</v>
      </c>
      <c r="H110" s="1798"/>
      <c r="I110" s="2076">
        <v>0</v>
      </c>
      <c r="J110" s="1798"/>
      <c r="K110" s="2076">
        <v>0</v>
      </c>
      <c r="L110" s="1798"/>
      <c r="M110" s="2076">
        <v>0</v>
      </c>
      <c r="N110" s="1798"/>
      <c r="O110" s="2076">
        <v>0</v>
      </c>
      <c r="P110" s="1282"/>
    </row>
    <row r="111" spans="2:16" s="999" customFormat="1" ht="15.75">
      <c r="B111" s="3295">
        <v>21061</v>
      </c>
      <c r="C111" s="1272"/>
      <c r="D111" s="1276" t="s">
        <v>940</v>
      </c>
      <c r="E111" s="1274"/>
      <c r="F111" s="1274"/>
      <c r="G111" s="2076">
        <v>0</v>
      </c>
      <c r="H111" s="1798"/>
      <c r="I111" s="2076">
        <v>0</v>
      </c>
      <c r="J111" s="1798"/>
      <c r="K111" s="2076">
        <v>0</v>
      </c>
      <c r="L111" s="1798"/>
      <c r="M111" s="2076">
        <v>0</v>
      </c>
      <c r="N111" s="1798"/>
      <c r="O111" s="2076">
        <v>0</v>
      </c>
      <c r="P111" s="1282"/>
    </row>
    <row r="112" spans="2:16" s="999" customFormat="1" ht="15.75">
      <c r="B112" s="3295">
        <v>21065</v>
      </c>
      <c r="C112" s="1272"/>
      <c r="D112" s="1276" t="s">
        <v>941</v>
      </c>
      <c r="E112" s="1274"/>
      <c r="F112" s="1274"/>
      <c r="G112" s="2076">
        <v>2168208.48</v>
      </c>
      <c r="H112" s="1798"/>
      <c r="I112" s="2076">
        <v>2821055.5300000003</v>
      </c>
      <c r="J112" s="1798"/>
      <c r="K112" s="2076">
        <v>3475925.7800000003</v>
      </c>
      <c r="L112" s="1798"/>
      <c r="M112" s="2076">
        <v>655120.96</v>
      </c>
      <c r="N112" s="1798"/>
      <c r="O112" s="2076">
        <v>4131046.74</v>
      </c>
      <c r="P112" s="1282"/>
    </row>
    <row r="113" spans="2:16" s="999" customFormat="1" ht="15.75">
      <c r="B113" s="3295">
        <v>21066</v>
      </c>
      <c r="C113" s="1272"/>
      <c r="D113" s="1273" t="s">
        <v>942</v>
      </c>
      <c r="E113" s="1274"/>
      <c r="F113" s="1274"/>
      <c r="G113" s="2076">
        <v>4079837.65</v>
      </c>
      <c r="H113" s="1798"/>
      <c r="I113" s="2076">
        <v>4393268.3899999997</v>
      </c>
      <c r="J113" s="1798"/>
      <c r="K113" s="2076">
        <v>3875900.58</v>
      </c>
      <c r="L113" s="1798"/>
      <c r="M113" s="2076">
        <v>278508.89999999991</v>
      </c>
      <c r="N113" s="1798"/>
      <c r="O113" s="2076">
        <v>4154409.48</v>
      </c>
      <c r="P113" s="1282"/>
    </row>
    <row r="114" spans="2:16" s="999" customFormat="1" ht="15.75">
      <c r="B114" s="3295">
        <v>21067</v>
      </c>
      <c r="C114" s="1272"/>
      <c r="D114" s="1273" t="s">
        <v>943</v>
      </c>
      <c r="E114" s="1274"/>
      <c r="F114" s="1274"/>
      <c r="G114" s="2076">
        <v>10968649.630000001</v>
      </c>
      <c r="H114" s="1798"/>
      <c r="I114" s="2076">
        <v>11854842.16</v>
      </c>
      <c r="J114" s="1798"/>
      <c r="K114" s="2076">
        <v>11835298.949999999</v>
      </c>
      <c r="L114" s="1798"/>
      <c r="M114" s="2076">
        <v>384346.23000000045</v>
      </c>
      <c r="N114" s="1798"/>
      <c r="O114" s="2076">
        <v>12219645.18</v>
      </c>
      <c r="P114" s="1282"/>
    </row>
    <row r="115" spans="2:16" s="999" customFormat="1" ht="15.75">
      <c r="B115" s="3295">
        <v>21077</v>
      </c>
      <c r="C115" s="1272"/>
      <c r="D115" s="1276" t="s">
        <v>944</v>
      </c>
      <c r="E115" s="1274"/>
      <c r="F115" s="1274"/>
      <c r="G115" s="2076">
        <v>39130.97</v>
      </c>
      <c r="H115" s="1798"/>
      <c r="I115" s="2076">
        <v>38670.97</v>
      </c>
      <c r="J115" s="1798"/>
      <c r="K115" s="2076">
        <v>42234.270000000004</v>
      </c>
      <c r="L115" s="1798"/>
      <c r="M115" s="2076">
        <v>10512.68</v>
      </c>
      <c r="N115" s="1798"/>
      <c r="O115" s="2076">
        <v>52746.950000000004</v>
      </c>
      <c r="P115" s="1282"/>
    </row>
    <row r="116" spans="2:16" s="999" customFormat="1" ht="15.75">
      <c r="B116" s="3295">
        <v>21080</v>
      </c>
      <c r="C116" s="1272"/>
      <c r="D116" s="1273" t="s">
        <v>945</v>
      </c>
      <c r="E116" s="1274"/>
      <c r="F116" s="1274"/>
      <c r="G116" s="2076">
        <v>0</v>
      </c>
      <c r="H116" s="1798"/>
      <c r="I116" s="2076">
        <v>0</v>
      </c>
      <c r="J116" s="1798"/>
      <c r="K116" s="2076">
        <v>0</v>
      </c>
      <c r="L116" s="1798"/>
      <c r="M116" s="2076">
        <v>0</v>
      </c>
      <c r="N116" s="1798"/>
      <c r="O116" s="2076">
        <v>0</v>
      </c>
      <c r="P116" s="1282"/>
    </row>
    <row r="117" spans="2:16" s="999" customFormat="1" ht="15.75">
      <c r="B117" s="3295">
        <v>21081</v>
      </c>
      <c r="C117" s="1272"/>
      <c r="D117" s="1273" t="s">
        <v>946</v>
      </c>
      <c r="E117" s="1274"/>
      <c r="F117" s="1274"/>
      <c r="G117" s="2076">
        <v>31110155.77</v>
      </c>
      <c r="H117" s="1798"/>
      <c r="I117" s="2076">
        <v>33417575.609999999</v>
      </c>
      <c r="J117" s="1798"/>
      <c r="K117" s="2076">
        <v>32142116.18</v>
      </c>
      <c r="L117" s="1798"/>
      <c r="M117" s="2076">
        <v>-4410425.3999999985</v>
      </c>
      <c r="N117" s="1798"/>
      <c r="O117" s="2076">
        <v>27731690.780000001</v>
      </c>
      <c r="P117" s="1282"/>
    </row>
    <row r="118" spans="2:16" s="999" customFormat="1" ht="15.75">
      <c r="B118" s="3295">
        <v>21082</v>
      </c>
      <c r="C118" s="1272"/>
      <c r="D118" s="1276" t="s">
        <v>947</v>
      </c>
      <c r="E118" s="1274"/>
      <c r="F118" s="1274"/>
      <c r="G118" s="2076">
        <v>20934033.280000001</v>
      </c>
      <c r="H118" s="1798"/>
      <c r="I118" s="2076">
        <v>21121918.039999999</v>
      </c>
      <c r="J118" s="1798"/>
      <c r="K118" s="2076">
        <v>20615962.059999999</v>
      </c>
      <c r="L118" s="1798"/>
      <c r="M118" s="2076">
        <v>340686.99000000209</v>
      </c>
      <c r="N118" s="1798"/>
      <c r="O118" s="2076">
        <v>20956649.050000001</v>
      </c>
      <c r="P118" s="1282"/>
    </row>
    <row r="119" spans="2:16" s="999" customFormat="1" ht="15.75">
      <c r="B119" s="3295">
        <v>21084</v>
      </c>
      <c r="C119" s="1272"/>
      <c r="D119" s="1276" t="s">
        <v>948</v>
      </c>
      <c r="E119" s="1274"/>
      <c r="F119" s="1274"/>
      <c r="G119" s="2076">
        <v>0</v>
      </c>
      <c r="H119" s="1798"/>
      <c r="I119" s="2076">
        <v>0</v>
      </c>
      <c r="J119" s="1798"/>
      <c r="K119" s="2076">
        <v>0</v>
      </c>
      <c r="L119" s="1798"/>
      <c r="M119" s="2076">
        <v>0</v>
      </c>
      <c r="N119" s="1798"/>
      <c r="O119" s="2076">
        <v>0</v>
      </c>
      <c r="P119" s="1282"/>
    </row>
    <row r="120" spans="2:16" s="999" customFormat="1" ht="15.75">
      <c r="B120" s="3295">
        <v>21087</v>
      </c>
      <c r="C120" s="1272"/>
      <c r="D120" s="1276" t="s">
        <v>949</v>
      </c>
      <c r="E120" s="1274"/>
      <c r="F120" s="1274"/>
      <c r="G120" s="2076">
        <v>0</v>
      </c>
      <c r="H120" s="1798"/>
      <c r="I120" s="2076">
        <v>0</v>
      </c>
      <c r="J120" s="1798"/>
      <c r="K120" s="2076">
        <v>0</v>
      </c>
      <c r="L120" s="1798"/>
      <c r="M120" s="2076">
        <v>0</v>
      </c>
      <c r="N120" s="1798"/>
      <c r="O120" s="2076">
        <v>0</v>
      </c>
      <c r="P120" s="1282"/>
    </row>
    <row r="121" spans="2:16" s="999" customFormat="1" ht="15.75">
      <c r="B121" s="3295">
        <v>21201</v>
      </c>
      <c r="C121" s="1272"/>
      <c r="D121" s="1276" t="s">
        <v>950</v>
      </c>
      <c r="E121" s="1274"/>
      <c r="F121" s="1274"/>
      <c r="G121" s="2076">
        <v>295542.06</v>
      </c>
      <c r="H121" s="1798"/>
      <c r="I121" s="2076">
        <v>425858.15</v>
      </c>
      <c r="J121" s="1798"/>
      <c r="K121" s="2076">
        <v>468295.56</v>
      </c>
      <c r="L121" s="1798"/>
      <c r="M121" s="2076">
        <v>39714.070000000007</v>
      </c>
      <c r="N121" s="1798"/>
      <c r="O121" s="2076">
        <v>508009.63</v>
      </c>
      <c r="P121" s="1282"/>
    </row>
    <row r="122" spans="2:16" s="999" customFormat="1" ht="15.75">
      <c r="B122" s="3295">
        <v>21202</v>
      </c>
      <c r="C122" s="1272"/>
      <c r="D122" s="1276" t="s">
        <v>951</v>
      </c>
      <c r="E122" s="1274"/>
      <c r="F122" s="1274"/>
      <c r="G122" s="2076">
        <v>92185.279999999999</v>
      </c>
      <c r="H122" s="1798"/>
      <c r="I122" s="2076">
        <v>128531.36</v>
      </c>
      <c r="J122" s="1798"/>
      <c r="K122" s="2076">
        <v>151708.09</v>
      </c>
      <c r="L122" s="1798"/>
      <c r="M122" s="2076">
        <v>16040.73000000001</v>
      </c>
      <c r="N122" s="1798"/>
      <c r="O122" s="2076">
        <v>167748.82</v>
      </c>
      <c r="P122" s="1282"/>
    </row>
    <row r="123" spans="2:16" s="999" customFormat="1" ht="15.75">
      <c r="B123" s="3295">
        <v>21203</v>
      </c>
      <c r="C123" s="1272"/>
      <c r="D123" s="1276" t="s">
        <v>952</v>
      </c>
      <c r="E123" s="1274"/>
      <c r="F123" s="1274"/>
      <c r="G123" s="2076">
        <v>4748049.51</v>
      </c>
      <c r="H123" s="1798"/>
      <c r="I123" s="2076">
        <v>6771190.1100000003</v>
      </c>
      <c r="J123" s="1798"/>
      <c r="K123" s="2076">
        <v>7615654.9500000002</v>
      </c>
      <c r="L123" s="1798"/>
      <c r="M123" s="2076">
        <v>2286322.9899999993</v>
      </c>
      <c r="N123" s="1798"/>
      <c r="O123" s="2076">
        <v>9901977.9399999995</v>
      </c>
      <c r="P123" s="1282"/>
    </row>
    <row r="124" spans="2:16" s="999" customFormat="1" ht="15.75">
      <c r="B124" s="3295">
        <v>21204</v>
      </c>
      <c r="C124" s="1272"/>
      <c r="D124" s="1276" t="s">
        <v>953</v>
      </c>
      <c r="E124" s="1274"/>
      <c r="F124" s="1274"/>
      <c r="G124" s="2076">
        <v>0</v>
      </c>
      <c r="H124" s="1798"/>
      <c r="I124" s="2076">
        <v>0</v>
      </c>
      <c r="J124" s="1798"/>
      <c r="K124" s="2076">
        <v>0</v>
      </c>
      <c r="L124" s="1798"/>
      <c r="M124" s="2076">
        <v>0</v>
      </c>
      <c r="N124" s="1798"/>
      <c r="O124" s="2076">
        <v>0</v>
      </c>
      <c r="P124" s="1282"/>
    </row>
    <row r="125" spans="2:16" s="999" customFormat="1" ht="15.75">
      <c r="B125" s="3295">
        <v>21205</v>
      </c>
      <c r="C125" s="1272"/>
      <c r="D125" s="1276" t="s">
        <v>954</v>
      </c>
      <c r="E125" s="1274"/>
      <c r="F125" s="1274"/>
      <c r="G125" s="2076">
        <v>0</v>
      </c>
      <c r="H125" s="1798"/>
      <c r="I125" s="2076">
        <v>0</v>
      </c>
      <c r="J125" s="1798"/>
      <c r="K125" s="2076">
        <v>0</v>
      </c>
      <c r="L125" s="1798"/>
      <c r="M125" s="2076">
        <v>0</v>
      </c>
      <c r="N125" s="1798"/>
      <c r="O125" s="2076">
        <v>0</v>
      </c>
      <c r="P125" s="1282"/>
    </row>
    <row r="126" spans="2:16" s="999" customFormat="1" ht="15.75">
      <c r="B126" s="3295">
        <v>21401</v>
      </c>
      <c r="C126" s="1272"/>
      <c r="D126" s="1273" t="s">
        <v>955</v>
      </c>
      <c r="E126" s="1274"/>
      <c r="F126" s="1274"/>
      <c r="G126" s="2076">
        <v>0</v>
      </c>
      <c r="H126" s="1798"/>
      <c r="I126" s="2076">
        <v>6319309.5599999996</v>
      </c>
      <c r="J126" s="1798"/>
      <c r="K126" s="2076">
        <v>230395.17</v>
      </c>
      <c r="L126" s="1798"/>
      <c r="M126" s="2076">
        <v>-230395.17</v>
      </c>
      <c r="N126" s="1798"/>
      <c r="O126" s="2076">
        <v>0</v>
      </c>
      <c r="P126" s="1282"/>
    </row>
    <row r="127" spans="2:16" s="999" customFormat="1" ht="15.75">
      <c r="B127" s="3295">
        <v>21402</v>
      </c>
      <c r="C127" s="1272"/>
      <c r="D127" s="1273" t="s">
        <v>956</v>
      </c>
      <c r="E127" s="1274"/>
      <c r="F127" s="1274"/>
      <c r="G127" s="2076">
        <v>0</v>
      </c>
      <c r="H127" s="1798"/>
      <c r="I127" s="2076">
        <v>0</v>
      </c>
      <c r="J127" s="1798"/>
      <c r="K127" s="2076">
        <v>0</v>
      </c>
      <c r="L127" s="1798"/>
      <c r="M127" s="2076">
        <v>0</v>
      </c>
      <c r="N127" s="1798"/>
      <c r="O127" s="2076">
        <v>0</v>
      </c>
      <c r="P127" s="1282"/>
    </row>
    <row r="128" spans="2:16" s="999" customFormat="1" ht="15.75">
      <c r="B128" s="3295">
        <v>21451</v>
      </c>
      <c r="C128" s="1272"/>
      <c r="D128" s="1273" t="s">
        <v>957</v>
      </c>
      <c r="E128" s="1274"/>
      <c r="F128" s="1274"/>
      <c r="G128" s="2076">
        <v>19953960.149999999</v>
      </c>
      <c r="H128" s="1798"/>
      <c r="I128" s="2076">
        <v>20935098.960000001</v>
      </c>
      <c r="J128" s="1798"/>
      <c r="K128" s="2076">
        <v>21457640.77</v>
      </c>
      <c r="L128" s="1798"/>
      <c r="M128" s="2076">
        <v>582105.35000000149</v>
      </c>
      <c r="N128" s="1798"/>
      <c r="O128" s="2076">
        <v>22039746.120000001</v>
      </c>
      <c r="P128" s="1282"/>
    </row>
    <row r="129" spans="2:16" s="999" customFormat="1" ht="15.75">
      <c r="B129" s="3295">
        <v>21452</v>
      </c>
      <c r="C129" s="1272"/>
      <c r="D129" s="1276" t="s">
        <v>958</v>
      </c>
      <c r="E129" s="1274"/>
      <c r="F129" s="1274"/>
      <c r="G129" s="2076">
        <v>4855344.4800000004</v>
      </c>
      <c r="H129" s="1798"/>
      <c r="I129" s="2076">
        <v>5512216.75</v>
      </c>
      <c r="J129" s="1798"/>
      <c r="K129" s="2076">
        <v>552737.76</v>
      </c>
      <c r="L129" s="1798"/>
      <c r="M129" s="2076">
        <v>-520211.24</v>
      </c>
      <c r="N129" s="1798"/>
      <c r="O129" s="2076">
        <v>32526.52</v>
      </c>
      <c r="P129" s="1282"/>
    </row>
    <row r="130" spans="2:16" s="999" customFormat="1" ht="15.75">
      <c r="B130" s="3295">
        <v>21902</v>
      </c>
      <c r="C130" s="1272"/>
      <c r="D130" s="1273" t="s">
        <v>959</v>
      </c>
      <c r="E130" s="1274"/>
      <c r="F130" s="1274"/>
      <c r="G130" s="2076">
        <v>0</v>
      </c>
      <c r="H130" s="1798"/>
      <c r="I130" s="2076">
        <v>0</v>
      </c>
      <c r="J130" s="1798"/>
      <c r="K130" s="2076">
        <v>0</v>
      </c>
      <c r="L130" s="1798"/>
      <c r="M130" s="2076">
        <v>0</v>
      </c>
      <c r="N130" s="1798"/>
      <c r="O130" s="2076">
        <v>0</v>
      </c>
      <c r="P130" s="1282"/>
    </row>
    <row r="131" spans="2:16" s="999" customFormat="1" ht="17.25">
      <c r="B131" s="3295">
        <v>21903</v>
      </c>
      <c r="C131" s="1272"/>
      <c r="D131" s="1812" t="s">
        <v>960</v>
      </c>
      <c r="E131" s="1274"/>
      <c r="F131" s="1274"/>
      <c r="G131" s="2076">
        <v>37602533.240000002</v>
      </c>
      <c r="H131" s="1798"/>
      <c r="I131" s="2076">
        <v>46730758.619999997</v>
      </c>
      <c r="J131" s="1798"/>
      <c r="K131" s="2076">
        <v>52597581.240000002</v>
      </c>
      <c r="L131" s="1798"/>
      <c r="M131" s="2076">
        <v>7753027.7199999988</v>
      </c>
      <c r="N131" s="1798"/>
      <c r="O131" s="2076">
        <v>60350608.960000001</v>
      </c>
      <c r="P131" s="1282"/>
    </row>
    <row r="132" spans="2:16" s="999" customFormat="1" ht="15.75">
      <c r="B132" s="3295">
        <v>21907</v>
      </c>
      <c r="C132" s="1272"/>
      <c r="D132" s="1276" t="s">
        <v>961</v>
      </c>
      <c r="E132" s="1274"/>
      <c r="F132" s="1274"/>
      <c r="G132" s="2076">
        <v>0</v>
      </c>
      <c r="H132" s="1798"/>
      <c r="I132" s="2076">
        <v>0</v>
      </c>
      <c r="J132" s="1798"/>
      <c r="K132" s="2076">
        <v>0</v>
      </c>
      <c r="L132" s="1798"/>
      <c r="M132" s="2076">
        <v>0</v>
      </c>
      <c r="N132" s="1798"/>
      <c r="O132" s="2076">
        <v>0</v>
      </c>
      <c r="P132" s="1282"/>
    </row>
    <row r="133" spans="2:16" s="999" customFormat="1" ht="15.75">
      <c r="B133" s="3295">
        <v>21909</v>
      </c>
      <c r="C133" s="1272"/>
      <c r="D133" s="1276" t="s">
        <v>962</v>
      </c>
      <c r="E133" s="1274"/>
      <c r="F133" s="1274"/>
      <c r="G133" s="2076">
        <v>354861823.41799998</v>
      </c>
      <c r="H133" s="1798"/>
      <c r="I133" s="2076">
        <v>400612338.97799999</v>
      </c>
      <c r="J133" s="1798"/>
      <c r="K133" s="2076">
        <v>331738888.42799997</v>
      </c>
      <c r="L133" s="1798"/>
      <c r="M133" s="2076">
        <v>126902436.21000004</v>
      </c>
      <c r="N133" s="1798"/>
      <c r="O133" s="2076">
        <v>458641324.63800001</v>
      </c>
      <c r="P133" s="1282"/>
    </row>
    <row r="134" spans="2:16" s="999" customFormat="1" ht="15.75">
      <c r="B134" s="3295">
        <v>21911</v>
      </c>
      <c r="C134" s="1272"/>
      <c r="D134" s="1276" t="s">
        <v>963</v>
      </c>
      <c r="E134" s="1274"/>
      <c r="F134" s="1274"/>
      <c r="G134" s="2076">
        <v>135295.37</v>
      </c>
      <c r="H134" s="1798"/>
      <c r="I134" s="2076">
        <v>444517.86</v>
      </c>
      <c r="J134" s="1798"/>
      <c r="K134" s="2076">
        <v>585324.78</v>
      </c>
      <c r="L134" s="1798"/>
      <c r="M134" s="2076">
        <v>-386924.03</v>
      </c>
      <c r="N134" s="1798"/>
      <c r="O134" s="2076">
        <v>198400.75</v>
      </c>
      <c r="P134" s="1282"/>
    </row>
    <row r="135" spans="2:16" s="999" customFormat="1" ht="15.75">
      <c r="B135" s="3295">
        <v>21912</v>
      </c>
      <c r="C135" s="1272"/>
      <c r="D135" s="1273" t="s">
        <v>964</v>
      </c>
      <c r="E135" s="1274"/>
      <c r="F135" s="1274"/>
      <c r="G135" s="2076">
        <v>5920734.3700000001</v>
      </c>
      <c r="H135" s="1798"/>
      <c r="I135" s="2076">
        <v>6950813.8499999996</v>
      </c>
      <c r="J135" s="1798"/>
      <c r="K135" s="2076">
        <v>7572904.25</v>
      </c>
      <c r="L135" s="1798"/>
      <c r="M135" s="2076">
        <v>-2602893.62</v>
      </c>
      <c r="N135" s="1798"/>
      <c r="O135" s="2076">
        <v>4970010.63</v>
      </c>
      <c r="P135" s="1282"/>
    </row>
    <row r="136" spans="2:16" s="999" customFormat="1" ht="15.75">
      <c r="B136" s="3295">
        <v>21913</v>
      </c>
      <c r="C136" s="1272"/>
      <c r="D136" s="1276" t="s">
        <v>1317</v>
      </c>
      <c r="E136" s="1274"/>
      <c r="F136" s="1274"/>
      <c r="G136" s="2076">
        <v>18398608.199999999</v>
      </c>
      <c r="H136" s="1798"/>
      <c r="I136" s="2076">
        <v>14171514.449999999</v>
      </c>
      <c r="J136" s="1798"/>
      <c r="K136" s="2076">
        <v>15220133.210000001</v>
      </c>
      <c r="L136" s="1798"/>
      <c r="M136" s="2076">
        <v>-1563616.3200000003</v>
      </c>
      <c r="N136" s="1798"/>
      <c r="O136" s="2076">
        <v>13656516.890000001</v>
      </c>
      <c r="P136" s="1282"/>
    </row>
    <row r="137" spans="2:16" s="999" customFormat="1" ht="15.75">
      <c r="B137" s="3295">
        <v>21919</v>
      </c>
      <c r="C137" s="1272"/>
      <c r="D137" s="1273" t="s">
        <v>965</v>
      </c>
      <c r="E137" s="1274"/>
      <c r="F137" s="1274"/>
      <c r="G137" s="2076">
        <v>0</v>
      </c>
      <c r="H137" s="1798"/>
      <c r="I137" s="2076">
        <v>0</v>
      </c>
      <c r="J137" s="1798"/>
      <c r="K137" s="2076">
        <v>0</v>
      </c>
      <c r="L137" s="1798"/>
      <c r="M137" s="2076">
        <v>0</v>
      </c>
      <c r="N137" s="1798"/>
      <c r="O137" s="2076">
        <v>0</v>
      </c>
      <c r="P137" s="1282"/>
    </row>
    <row r="138" spans="2:16" s="999" customFormat="1" ht="15.75">
      <c r="B138" s="3295">
        <v>21937</v>
      </c>
      <c r="C138" s="1272"/>
      <c r="D138" s="1276" t="s">
        <v>966</v>
      </c>
      <c r="E138" s="1274"/>
      <c r="F138" s="1274"/>
      <c r="G138" s="2076">
        <v>894979.5</v>
      </c>
      <c r="H138" s="1798"/>
      <c r="I138" s="2076">
        <v>624548.16</v>
      </c>
      <c r="J138" s="1798"/>
      <c r="K138" s="2076">
        <v>304490.40000000002</v>
      </c>
      <c r="L138" s="1798"/>
      <c r="M138" s="2076">
        <v>-83885.530000000028</v>
      </c>
      <c r="N138" s="1798"/>
      <c r="O138" s="2076">
        <v>220604.87</v>
      </c>
      <c r="P138" s="1282"/>
    </row>
    <row r="139" spans="2:16" s="999" customFormat="1" ht="15.75">
      <c r="B139" s="3295">
        <v>21943</v>
      </c>
      <c r="C139" s="1272"/>
      <c r="D139" s="1276" t="s">
        <v>967</v>
      </c>
      <c r="E139" s="1274"/>
      <c r="F139" s="1274"/>
      <c r="G139" s="2076">
        <v>9099166.9299999997</v>
      </c>
      <c r="H139" s="1798"/>
      <c r="I139" s="2076">
        <v>9099166.9299999997</v>
      </c>
      <c r="J139" s="1798"/>
      <c r="K139" s="2076">
        <v>11064416.93</v>
      </c>
      <c r="L139" s="1798"/>
      <c r="M139" s="2076">
        <v>1842250</v>
      </c>
      <c r="N139" s="1798"/>
      <c r="O139" s="2076">
        <v>12906666.93</v>
      </c>
      <c r="P139" s="1282"/>
    </row>
    <row r="140" spans="2:16" s="999" customFormat="1" ht="15.75">
      <c r="B140" s="3295">
        <v>21945</v>
      </c>
      <c r="C140" s="1272"/>
      <c r="D140" s="1273" t="s">
        <v>968</v>
      </c>
      <c r="E140" s="1274"/>
      <c r="F140" s="1274"/>
      <c r="G140" s="2076">
        <v>0</v>
      </c>
      <c r="H140" s="1798"/>
      <c r="I140" s="2076">
        <v>0</v>
      </c>
      <c r="J140" s="1798"/>
      <c r="K140" s="2076">
        <v>0</v>
      </c>
      <c r="L140" s="1798"/>
      <c r="M140" s="2076">
        <v>0</v>
      </c>
      <c r="N140" s="1798"/>
      <c r="O140" s="2076">
        <v>0</v>
      </c>
      <c r="P140" s="1282"/>
    </row>
    <row r="141" spans="2:16" s="999" customFormat="1" ht="15.75">
      <c r="B141" s="3295">
        <v>21950</v>
      </c>
      <c r="C141" s="1272"/>
      <c r="D141" s="1273" t="s">
        <v>1325</v>
      </c>
      <c r="E141" s="1274"/>
      <c r="F141" s="1274"/>
      <c r="G141" s="2076">
        <v>0</v>
      </c>
      <c r="H141" s="1798"/>
      <c r="I141" s="2076">
        <v>0</v>
      </c>
      <c r="J141" s="1798"/>
      <c r="K141" s="2076">
        <v>0</v>
      </c>
      <c r="L141" s="1798"/>
      <c r="M141" s="2076">
        <v>0</v>
      </c>
      <c r="N141" s="1798"/>
      <c r="O141" s="2076">
        <v>0</v>
      </c>
      <c r="P141" s="1282"/>
    </row>
    <row r="142" spans="2:16" s="999" customFormat="1" ht="15.75">
      <c r="B142" s="3295">
        <v>21959</v>
      </c>
      <c r="C142" s="1272"/>
      <c r="D142" s="1276" t="s">
        <v>969</v>
      </c>
      <c r="E142" s="1274"/>
      <c r="F142" s="1274"/>
      <c r="G142" s="2076">
        <v>783833</v>
      </c>
      <c r="H142" s="1798"/>
      <c r="I142" s="2076">
        <v>1133672.96</v>
      </c>
      <c r="J142" s="1798"/>
      <c r="K142" s="2076">
        <v>1267896.05</v>
      </c>
      <c r="L142" s="1798"/>
      <c r="M142" s="2076">
        <v>157724.96999999997</v>
      </c>
      <c r="N142" s="1798"/>
      <c r="O142" s="2076">
        <v>1425621.02</v>
      </c>
      <c r="P142" s="1282"/>
    </row>
    <row r="143" spans="2:16" s="999" customFormat="1" ht="15.75">
      <c r="B143" s="3295">
        <v>21962</v>
      </c>
      <c r="C143" s="1272"/>
      <c r="D143" s="1276" t="s">
        <v>970</v>
      </c>
      <c r="E143" s="1274"/>
      <c r="F143" s="1274"/>
      <c r="G143" s="2076">
        <v>22541831.219999999</v>
      </c>
      <c r="H143" s="1798"/>
      <c r="I143" s="2076">
        <v>20412907.66</v>
      </c>
      <c r="J143" s="1798"/>
      <c r="K143" s="2076">
        <v>20660994.870000001</v>
      </c>
      <c r="L143" s="1798"/>
      <c r="M143" s="2076">
        <v>-2789203.0500000007</v>
      </c>
      <c r="N143" s="1798"/>
      <c r="O143" s="2076">
        <v>17871791.82</v>
      </c>
      <c r="P143" s="1282"/>
    </row>
    <row r="144" spans="2:16" s="999" customFormat="1" ht="15.75">
      <c r="B144" s="3295">
        <v>21964</v>
      </c>
      <c r="C144" s="1272"/>
      <c r="D144" s="1273" t="s">
        <v>971</v>
      </c>
      <c r="E144" s="1274"/>
      <c r="F144" s="1274"/>
      <c r="G144" s="2076">
        <v>0</v>
      </c>
      <c r="H144" s="1798"/>
      <c r="I144" s="2076">
        <v>0</v>
      </c>
      <c r="J144" s="1798"/>
      <c r="K144" s="2076">
        <v>0</v>
      </c>
      <c r="L144" s="1798"/>
      <c r="M144" s="2076">
        <v>0</v>
      </c>
      <c r="N144" s="1798"/>
      <c r="O144" s="2076">
        <v>0</v>
      </c>
      <c r="P144" s="1282"/>
    </row>
    <row r="145" spans="2:16" s="999" customFormat="1" ht="15.75">
      <c r="B145" s="3295">
        <v>21978</v>
      </c>
      <c r="C145" s="1272"/>
      <c r="D145" s="1273" t="s">
        <v>972</v>
      </c>
      <c r="E145" s="1274"/>
      <c r="F145" s="1274"/>
      <c r="G145" s="2076">
        <v>1080489.3999999999</v>
      </c>
      <c r="H145" s="1798"/>
      <c r="I145" s="2076">
        <v>2315033.29</v>
      </c>
      <c r="J145" s="1798"/>
      <c r="K145" s="2076">
        <v>3830077.73</v>
      </c>
      <c r="L145" s="1798"/>
      <c r="M145" s="2076">
        <v>1361296.56</v>
      </c>
      <c r="N145" s="1798"/>
      <c r="O145" s="2076">
        <v>5191374.29</v>
      </c>
      <c r="P145" s="1282"/>
    </row>
    <row r="146" spans="2:16" s="999" customFormat="1" ht="15.75">
      <c r="B146" s="3295">
        <v>21979</v>
      </c>
      <c r="C146" s="1272"/>
      <c r="D146" s="1273" t="s">
        <v>973</v>
      </c>
      <c r="E146" s="1274"/>
      <c r="F146" s="1274"/>
      <c r="G146" s="2076">
        <v>0</v>
      </c>
      <c r="H146" s="1798"/>
      <c r="I146" s="2076">
        <v>0</v>
      </c>
      <c r="J146" s="1798"/>
      <c r="K146" s="2076">
        <v>0</v>
      </c>
      <c r="L146" s="1798"/>
      <c r="M146" s="2076">
        <v>0</v>
      </c>
      <c r="N146" s="1798"/>
      <c r="O146" s="2076">
        <v>0</v>
      </c>
      <c r="P146" s="1282"/>
    </row>
    <row r="147" spans="2:16" s="999" customFormat="1" ht="15.75">
      <c r="B147" s="3295">
        <v>21989</v>
      </c>
      <c r="C147" s="1272"/>
      <c r="D147" s="1273" t="s">
        <v>974</v>
      </c>
      <c r="E147" s="1274"/>
      <c r="F147" s="1274"/>
      <c r="G147" s="2076">
        <v>0</v>
      </c>
      <c r="H147" s="1798"/>
      <c r="I147" s="2076">
        <v>0</v>
      </c>
      <c r="J147" s="1798"/>
      <c r="K147" s="2076">
        <v>0</v>
      </c>
      <c r="L147" s="1798"/>
      <c r="M147" s="2076">
        <v>0</v>
      </c>
      <c r="N147" s="1798"/>
      <c r="O147" s="2076">
        <v>0</v>
      </c>
      <c r="P147" s="1282"/>
    </row>
    <row r="148" spans="2:16" s="999" customFormat="1" ht="15.75">
      <c r="B148" s="3295">
        <v>22003</v>
      </c>
      <c r="C148" s="1272"/>
      <c r="D148" s="1273" t="s">
        <v>975</v>
      </c>
      <c r="E148" s="1274"/>
      <c r="F148" s="1274"/>
      <c r="G148" s="2076">
        <v>0</v>
      </c>
      <c r="H148" s="1798"/>
      <c r="I148" s="2076">
        <v>12814.09</v>
      </c>
      <c r="J148" s="1798"/>
      <c r="K148" s="2076">
        <v>0</v>
      </c>
      <c r="L148" s="1798"/>
      <c r="M148" s="2076">
        <v>0</v>
      </c>
      <c r="N148" s="1798"/>
      <c r="O148" s="2076">
        <v>0</v>
      </c>
      <c r="P148" s="1282"/>
    </row>
    <row r="149" spans="2:16" s="999" customFormat="1" ht="15.75">
      <c r="B149" s="3295">
        <v>22004</v>
      </c>
      <c r="C149" s="1272"/>
      <c r="D149" s="1276" t="s">
        <v>976</v>
      </c>
      <c r="E149" s="1274"/>
      <c r="F149" s="1274"/>
      <c r="G149" s="2076">
        <v>0</v>
      </c>
      <c r="H149" s="1798"/>
      <c r="I149" s="2076">
        <v>0</v>
      </c>
      <c r="J149" s="1798"/>
      <c r="K149" s="2076">
        <v>0</v>
      </c>
      <c r="L149" s="1798"/>
      <c r="M149" s="2076">
        <v>23141.94</v>
      </c>
      <c r="N149" s="1798"/>
      <c r="O149" s="2076">
        <v>23141.94</v>
      </c>
      <c r="P149" s="1282"/>
    </row>
    <row r="150" spans="2:16" s="999" customFormat="1" ht="15.75">
      <c r="B150" s="3295">
        <v>22006</v>
      </c>
      <c r="C150" s="1272"/>
      <c r="D150" s="1273" t="s">
        <v>977</v>
      </c>
      <c r="E150" s="1274"/>
      <c r="F150" s="1274"/>
      <c r="G150" s="2076">
        <v>0</v>
      </c>
      <c r="H150" s="1798"/>
      <c r="I150" s="2076">
        <v>113183.11</v>
      </c>
      <c r="J150" s="1798"/>
      <c r="K150" s="2076">
        <v>224594.93</v>
      </c>
      <c r="L150" s="1798"/>
      <c r="M150" s="2076">
        <v>48792.31</v>
      </c>
      <c r="N150" s="1798"/>
      <c r="O150" s="2076">
        <v>273387.24</v>
      </c>
      <c r="P150" s="1282"/>
    </row>
    <row r="151" spans="2:16" s="999" customFormat="1" ht="15.75">
      <c r="B151" s="3295">
        <v>22007</v>
      </c>
      <c r="C151" s="1272"/>
      <c r="D151" s="1276" t="s">
        <v>978</v>
      </c>
      <c r="E151" s="1274"/>
      <c r="F151" s="1274"/>
      <c r="G151" s="2076">
        <v>0</v>
      </c>
      <c r="H151" s="1798"/>
      <c r="I151" s="2076">
        <v>0</v>
      </c>
      <c r="J151" s="1798"/>
      <c r="K151" s="2076">
        <v>0</v>
      </c>
      <c r="L151" s="1798"/>
      <c r="M151" s="2076">
        <v>0</v>
      </c>
      <c r="N151" s="1798"/>
      <c r="O151" s="2076">
        <v>0</v>
      </c>
      <c r="P151" s="1282"/>
    </row>
    <row r="152" spans="2:16" s="999" customFormat="1" ht="15.75">
      <c r="B152" s="3295">
        <v>22009</v>
      </c>
      <c r="C152" s="1272"/>
      <c r="D152" s="1276" t="s">
        <v>979</v>
      </c>
      <c r="E152" s="1274"/>
      <c r="F152" s="1274"/>
      <c r="G152" s="2076">
        <v>5517.33</v>
      </c>
      <c r="H152" s="1798"/>
      <c r="I152" s="2076">
        <v>30596.29</v>
      </c>
      <c r="J152" s="1798"/>
      <c r="K152" s="2076">
        <v>38698.230000000003</v>
      </c>
      <c r="L152" s="1798"/>
      <c r="M152" s="2076">
        <v>21534.32</v>
      </c>
      <c r="N152" s="1798"/>
      <c r="O152" s="2076">
        <v>60232.55</v>
      </c>
      <c r="P152" s="1282"/>
    </row>
    <row r="153" spans="2:16" s="999" customFormat="1" ht="15.75">
      <c r="B153" s="3295">
        <v>22032</v>
      </c>
      <c r="C153" s="1272"/>
      <c r="D153" s="1276" t="s">
        <v>980</v>
      </c>
      <c r="E153" s="1274"/>
      <c r="F153" s="1274"/>
      <c r="G153" s="2076">
        <v>8055296.6799999997</v>
      </c>
      <c r="H153" s="1798"/>
      <c r="I153" s="2076">
        <v>8278623.8200000003</v>
      </c>
      <c r="J153" s="1798"/>
      <c r="K153" s="2076">
        <v>8712225.5199999996</v>
      </c>
      <c r="L153" s="1798"/>
      <c r="M153" s="2076">
        <v>1554521.9100000001</v>
      </c>
      <c r="N153" s="1798"/>
      <c r="O153" s="2076">
        <v>10266747.43</v>
      </c>
      <c r="P153" s="1282"/>
    </row>
    <row r="154" spans="2:16" s="999" customFormat="1" ht="15.75">
      <c r="B154" s="3295">
        <v>22034</v>
      </c>
      <c r="C154" s="1272"/>
      <c r="D154" s="1276" t="s">
        <v>981</v>
      </c>
      <c r="E154" s="1274"/>
      <c r="F154" s="1274"/>
      <c r="G154" s="2076">
        <v>0</v>
      </c>
      <c r="H154" s="1798"/>
      <c r="I154" s="2076">
        <v>0</v>
      </c>
      <c r="J154" s="1798"/>
      <c r="K154" s="2076">
        <v>0</v>
      </c>
      <c r="L154" s="1798"/>
      <c r="M154" s="2076">
        <v>0</v>
      </c>
      <c r="N154" s="1798"/>
      <c r="O154" s="2076">
        <v>0</v>
      </c>
      <c r="P154" s="1282"/>
    </row>
    <row r="155" spans="2:16" s="999" customFormat="1" ht="15.75">
      <c r="B155" s="3295">
        <v>22036</v>
      </c>
      <c r="C155" s="1272"/>
      <c r="D155" s="1276" t="s">
        <v>982</v>
      </c>
      <c r="E155" s="1274"/>
      <c r="F155" s="1274"/>
      <c r="G155" s="2076">
        <v>0</v>
      </c>
      <c r="H155" s="1798"/>
      <c r="I155" s="2076">
        <v>0</v>
      </c>
      <c r="J155" s="1798"/>
      <c r="K155" s="2076">
        <v>0</v>
      </c>
      <c r="L155" s="1798"/>
      <c r="M155" s="2076">
        <v>0</v>
      </c>
      <c r="N155" s="1798"/>
      <c r="O155" s="2076">
        <v>0</v>
      </c>
      <c r="P155" s="1282"/>
    </row>
    <row r="156" spans="2:16" s="999" customFormat="1" ht="15.75">
      <c r="B156" s="3295">
        <v>22039</v>
      </c>
      <c r="C156" s="1272"/>
      <c r="D156" s="1276" t="s">
        <v>983</v>
      </c>
      <c r="E156" s="1274"/>
      <c r="F156" s="1274"/>
      <c r="G156" s="2076">
        <v>226756.59</v>
      </c>
      <c r="H156" s="1798"/>
      <c r="I156" s="2076">
        <v>737347.20000000007</v>
      </c>
      <c r="J156" s="1798"/>
      <c r="K156" s="2076">
        <v>928473.18</v>
      </c>
      <c r="L156" s="1798"/>
      <c r="M156" s="2076">
        <v>-755434.98</v>
      </c>
      <c r="N156" s="1798"/>
      <c r="O156" s="2076">
        <v>173038.2</v>
      </c>
      <c r="P156" s="1282"/>
    </row>
    <row r="157" spans="2:16" s="999" customFormat="1" ht="15.75">
      <c r="B157" s="3295">
        <v>22046</v>
      </c>
      <c r="C157" s="1272"/>
      <c r="D157" s="1276" t="s">
        <v>984</v>
      </c>
      <c r="E157" s="1274"/>
      <c r="F157" s="1274"/>
      <c r="G157" s="2076">
        <v>55841551.520000003</v>
      </c>
      <c r="H157" s="1798"/>
      <c r="I157" s="2076">
        <v>56374808.18</v>
      </c>
      <c r="J157" s="1798"/>
      <c r="K157" s="2076">
        <v>56706697.18</v>
      </c>
      <c r="L157" s="1798"/>
      <c r="M157" s="2076">
        <v>568567.34000000358</v>
      </c>
      <c r="N157" s="1798"/>
      <c r="O157" s="2076">
        <v>57275264.520000003</v>
      </c>
      <c r="P157" s="1282"/>
    </row>
    <row r="158" spans="2:16" s="999" customFormat="1" ht="15.75">
      <c r="B158" s="3295">
        <v>22053</v>
      </c>
      <c r="C158" s="1272"/>
      <c r="D158" s="1276" t="s">
        <v>985</v>
      </c>
      <c r="E158" s="1274"/>
      <c r="F158" s="1274"/>
      <c r="G158" s="2076">
        <v>2154611.9</v>
      </c>
      <c r="H158" s="1798"/>
      <c r="I158" s="2076">
        <v>2406437.58</v>
      </c>
      <c r="J158" s="1798"/>
      <c r="K158" s="2076">
        <v>2743834.62</v>
      </c>
      <c r="L158" s="1798"/>
      <c r="M158" s="2076">
        <v>1345825.63</v>
      </c>
      <c r="N158" s="1798"/>
      <c r="O158" s="2076">
        <v>4089660.25</v>
      </c>
      <c r="P158" s="1282"/>
    </row>
    <row r="159" spans="2:16" s="999" customFormat="1" ht="15.75">
      <c r="B159" s="3295">
        <v>22054</v>
      </c>
      <c r="C159" s="1272"/>
      <c r="D159" s="1276" t="s">
        <v>986</v>
      </c>
      <c r="E159" s="1274"/>
      <c r="F159" s="1274"/>
      <c r="G159" s="2076">
        <v>0</v>
      </c>
      <c r="H159" s="1798"/>
      <c r="I159" s="2076">
        <v>0</v>
      </c>
      <c r="J159" s="1798"/>
      <c r="K159" s="2076">
        <v>0</v>
      </c>
      <c r="L159" s="1798"/>
      <c r="M159" s="2076">
        <v>0</v>
      </c>
      <c r="N159" s="1798"/>
      <c r="O159" s="2076">
        <v>0</v>
      </c>
      <c r="P159" s="1282"/>
    </row>
    <row r="160" spans="2:16" s="999" customFormat="1" ht="15.75">
      <c r="B160" s="3295">
        <v>22055</v>
      </c>
      <c r="C160" s="1272"/>
      <c r="D160" s="1276" t="s">
        <v>987</v>
      </c>
      <c r="E160" s="1274"/>
      <c r="F160" s="1274"/>
      <c r="G160" s="2076">
        <v>2464444.25</v>
      </c>
      <c r="H160" s="1798"/>
      <c r="I160" s="2076">
        <v>6714685.7300000004</v>
      </c>
      <c r="J160" s="1798"/>
      <c r="K160" s="2076">
        <v>1204315.71</v>
      </c>
      <c r="L160" s="1798"/>
      <c r="M160" s="2076">
        <v>-1175991.47</v>
      </c>
      <c r="N160" s="1798"/>
      <c r="O160" s="2076">
        <v>28324.240000000002</v>
      </c>
      <c r="P160" s="1282"/>
    </row>
    <row r="161" spans="2:16" s="999" customFormat="1" ht="15.75">
      <c r="B161" s="3295">
        <v>22056</v>
      </c>
      <c r="C161" s="1272"/>
      <c r="D161" s="1276" t="s">
        <v>988</v>
      </c>
      <c r="E161" s="1274"/>
      <c r="F161" s="1274"/>
      <c r="G161" s="2076">
        <v>0</v>
      </c>
      <c r="H161" s="1798"/>
      <c r="I161" s="2076">
        <v>0</v>
      </c>
      <c r="J161" s="1798"/>
      <c r="K161" s="2076">
        <v>0</v>
      </c>
      <c r="L161" s="1798"/>
      <c r="M161" s="2076">
        <v>91001.59</v>
      </c>
      <c r="N161" s="1798"/>
      <c r="O161" s="2076">
        <v>91001.59</v>
      </c>
      <c r="P161" s="1282"/>
    </row>
    <row r="162" spans="2:16" s="999" customFormat="1" ht="15.75">
      <c r="B162" s="3295">
        <v>22062</v>
      </c>
      <c r="C162" s="1272"/>
      <c r="D162" s="1276" t="s">
        <v>989</v>
      </c>
      <c r="E162" s="1274"/>
      <c r="F162" s="1274"/>
      <c r="G162" s="2076">
        <v>0</v>
      </c>
      <c r="H162" s="1798"/>
      <c r="I162" s="2076">
        <v>0</v>
      </c>
      <c r="J162" s="1798"/>
      <c r="K162" s="2076">
        <v>0</v>
      </c>
      <c r="L162" s="1798"/>
      <c r="M162" s="2076">
        <v>0</v>
      </c>
      <c r="N162" s="1798"/>
      <c r="O162" s="2076">
        <v>0</v>
      </c>
      <c r="P162" s="1282"/>
    </row>
    <row r="163" spans="2:16" s="999" customFormat="1" ht="15.75">
      <c r="B163" s="3295">
        <v>22063</v>
      </c>
      <c r="C163" s="1272"/>
      <c r="D163" s="1276" t="s">
        <v>990</v>
      </c>
      <c r="E163" s="1274"/>
      <c r="F163" s="1274"/>
      <c r="G163" s="2076">
        <v>3447416.77</v>
      </c>
      <c r="H163" s="1798"/>
      <c r="I163" s="2076">
        <v>2449122.21</v>
      </c>
      <c r="J163" s="1798"/>
      <c r="K163" s="2076">
        <v>1494587.48</v>
      </c>
      <c r="L163" s="1798"/>
      <c r="M163" s="2076">
        <v>933116.06999999983</v>
      </c>
      <c r="N163" s="1798"/>
      <c r="O163" s="2076">
        <v>2427703.5499999998</v>
      </c>
      <c r="P163" s="1282"/>
    </row>
    <row r="164" spans="2:16" s="999" customFormat="1" ht="15.75">
      <c r="B164" s="3295">
        <v>22078</v>
      </c>
      <c r="C164" s="1272"/>
      <c r="D164" s="1276" t="s">
        <v>991</v>
      </c>
      <c r="E164" s="1274"/>
      <c r="F164" s="1274"/>
      <c r="G164" s="2076">
        <v>0</v>
      </c>
      <c r="H164" s="1798"/>
      <c r="I164" s="2076">
        <v>0</v>
      </c>
      <c r="J164" s="1798"/>
      <c r="K164" s="2076">
        <v>0</v>
      </c>
      <c r="L164" s="1798"/>
      <c r="M164" s="2076">
        <v>0</v>
      </c>
      <c r="N164" s="1798"/>
      <c r="O164" s="2076">
        <v>0</v>
      </c>
      <c r="P164" s="1282"/>
    </row>
    <row r="165" spans="2:16" s="999" customFormat="1" ht="15.75">
      <c r="B165" s="3295">
        <v>22085</v>
      </c>
      <c r="C165" s="1272"/>
      <c r="D165" s="1276" t="s">
        <v>992</v>
      </c>
      <c r="E165" s="1274"/>
      <c r="F165" s="1274"/>
      <c r="G165" s="2076">
        <v>1645375.1800000002</v>
      </c>
      <c r="H165" s="1798"/>
      <c r="I165" s="2076">
        <v>2440888.2800000003</v>
      </c>
      <c r="J165" s="1798"/>
      <c r="K165" s="2076">
        <v>2843752.34</v>
      </c>
      <c r="L165" s="1798"/>
      <c r="M165" s="2076">
        <v>-141323.43999999994</v>
      </c>
      <c r="N165" s="1798"/>
      <c r="O165" s="2076">
        <v>2702428.9</v>
      </c>
      <c r="P165" s="1282"/>
    </row>
    <row r="166" spans="2:16" s="999" customFormat="1" ht="15.75">
      <c r="B166" s="3295">
        <v>22087</v>
      </c>
      <c r="C166" s="1272"/>
      <c r="D166" s="1273" t="s">
        <v>993</v>
      </c>
      <c r="E166" s="1274"/>
      <c r="F166" s="1274"/>
      <c r="G166" s="2076">
        <v>0</v>
      </c>
      <c r="H166" s="1798"/>
      <c r="I166" s="2076">
        <v>0</v>
      </c>
      <c r="J166" s="1798"/>
      <c r="K166" s="2076">
        <v>0</v>
      </c>
      <c r="L166" s="1798"/>
      <c r="M166" s="2076">
        <v>0</v>
      </c>
      <c r="N166" s="1798"/>
      <c r="O166" s="2076">
        <v>0</v>
      </c>
      <c r="P166" s="1282"/>
    </row>
    <row r="167" spans="2:16" s="999" customFormat="1" ht="15.75">
      <c r="B167" s="3295">
        <v>22090</v>
      </c>
      <c r="C167" s="1272"/>
      <c r="D167" s="1276" t="s">
        <v>994</v>
      </c>
      <c r="E167" s="1274"/>
      <c r="F167" s="1274"/>
      <c r="G167" s="2076">
        <v>8610468.4199999999</v>
      </c>
      <c r="H167" s="1798"/>
      <c r="I167" s="2076">
        <v>8849190.2100000009</v>
      </c>
      <c r="J167" s="1798"/>
      <c r="K167" s="2076">
        <v>5093811.12</v>
      </c>
      <c r="L167" s="1798"/>
      <c r="M167" s="2076">
        <v>-280910.78000000026</v>
      </c>
      <c r="N167" s="1798"/>
      <c r="O167" s="2076">
        <v>4812900.34</v>
      </c>
      <c r="P167" s="1282"/>
    </row>
    <row r="168" spans="2:16" s="999" customFormat="1" ht="15.75">
      <c r="B168" s="3295">
        <v>22094</v>
      </c>
      <c r="C168" s="1272"/>
      <c r="D168" s="1276" t="s">
        <v>995</v>
      </c>
      <c r="E168" s="1274"/>
      <c r="F168" s="1274"/>
      <c r="G168" s="2076">
        <v>0</v>
      </c>
      <c r="H168" s="1798"/>
      <c r="I168" s="2076">
        <v>0</v>
      </c>
      <c r="J168" s="1798"/>
      <c r="K168" s="2076">
        <v>0</v>
      </c>
      <c r="L168" s="1798"/>
      <c r="M168" s="2076">
        <v>0</v>
      </c>
      <c r="N168" s="1798"/>
      <c r="O168" s="2076">
        <v>0</v>
      </c>
      <c r="P168" s="1282"/>
    </row>
    <row r="169" spans="2:16" s="999" customFormat="1" ht="15.75">
      <c r="B169" s="3295">
        <v>22100</v>
      </c>
      <c r="C169" s="1272"/>
      <c r="D169" s="1276" t="s">
        <v>996</v>
      </c>
      <c r="E169" s="1274"/>
      <c r="F169" s="1274"/>
      <c r="G169" s="2076">
        <v>0</v>
      </c>
      <c r="H169" s="1798"/>
      <c r="I169" s="2076">
        <v>0</v>
      </c>
      <c r="J169" s="1798"/>
      <c r="K169" s="2076">
        <v>0</v>
      </c>
      <c r="L169" s="1798"/>
      <c r="M169" s="2076">
        <v>0</v>
      </c>
      <c r="N169" s="1798"/>
      <c r="O169" s="2076">
        <v>0</v>
      </c>
      <c r="P169" s="1282"/>
    </row>
    <row r="170" spans="2:16" s="999" customFormat="1" ht="15.75">
      <c r="B170" s="3295">
        <v>22130</v>
      </c>
      <c r="C170" s="1272"/>
      <c r="D170" s="1273" t="s">
        <v>997</v>
      </c>
      <c r="E170" s="1274"/>
      <c r="F170" s="1274"/>
      <c r="G170" s="2076">
        <v>0</v>
      </c>
      <c r="H170" s="1798"/>
      <c r="I170" s="2076">
        <v>0</v>
      </c>
      <c r="J170" s="1798"/>
      <c r="K170" s="2076">
        <v>0</v>
      </c>
      <c r="L170" s="1798"/>
      <c r="M170" s="2076">
        <v>0</v>
      </c>
      <c r="N170" s="1798"/>
      <c r="O170" s="2076">
        <v>0</v>
      </c>
      <c r="P170" s="1282"/>
    </row>
    <row r="171" spans="2:16" s="999" customFormat="1" ht="15.75">
      <c r="B171" s="3295">
        <v>22135</v>
      </c>
      <c r="C171" s="1272"/>
      <c r="D171" s="1273" t="s">
        <v>998</v>
      </c>
      <c r="E171" s="1274"/>
      <c r="F171" s="1274"/>
      <c r="G171" s="2076">
        <v>0</v>
      </c>
      <c r="H171" s="1798"/>
      <c r="I171" s="2076">
        <v>0</v>
      </c>
      <c r="J171" s="1798"/>
      <c r="K171" s="2076">
        <v>0</v>
      </c>
      <c r="L171" s="1798"/>
      <c r="M171" s="2076">
        <v>0</v>
      </c>
      <c r="N171" s="1798"/>
      <c r="O171" s="2076">
        <v>0</v>
      </c>
      <c r="P171" s="1282"/>
    </row>
    <row r="172" spans="2:16" s="999" customFormat="1" ht="15.75">
      <c r="B172" s="3295">
        <v>22144</v>
      </c>
      <c r="C172" s="1272"/>
      <c r="D172" s="1276" t="s">
        <v>999</v>
      </c>
      <c r="E172" s="1274"/>
      <c r="F172" s="1274"/>
      <c r="G172" s="2076">
        <v>0</v>
      </c>
      <c r="H172" s="1798"/>
      <c r="I172" s="2076">
        <v>0</v>
      </c>
      <c r="J172" s="1798"/>
      <c r="K172" s="2076">
        <v>0</v>
      </c>
      <c r="L172" s="1798"/>
      <c r="M172" s="2076">
        <v>0</v>
      </c>
      <c r="N172" s="1798"/>
      <c r="O172" s="2076">
        <v>0</v>
      </c>
      <c r="P172" s="1282"/>
    </row>
    <row r="173" spans="2:16" s="999" customFormat="1" ht="15.75">
      <c r="B173" s="3295">
        <v>22151</v>
      </c>
      <c r="C173" s="1272"/>
      <c r="D173" s="1273" t="s">
        <v>1000</v>
      </c>
      <c r="E173" s="1274"/>
      <c r="F173" s="1274"/>
      <c r="G173" s="2076">
        <v>180709.84</v>
      </c>
      <c r="H173" s="1798"/>
      <c r="I173" s="2076">
        <v>53724.81</v>
      </c>
      <c r="J173" s="1798"/>
      <c r="K173" s="2076">
        <v>122255.2</v>
      </c>
      <c r="L173" s="1798"/>
      <c r="M173" s="2076">
        <v>-122255.2</v>
      </c>
      <c r="N173" s="1798"/>
      <c r="O173" s="2076">
        <v>0</v>
      </c>
      <c r="P173" s="1282"/>
    </row>
    <row r="174" spans="2:16" s="999" customFormat="1" ht="15.75">
      <c r="B174" s="3295">
        <v>22156</v>
      </c>
      <c r="C174" s="1272"/>
      <c r="D174" s="1273" t="s">
        <v>1001</v>
      </c>
      <c r="E174" s="1274"/>
      <c r="F174" s="1274"/>
      <c r="G174" s="2076">
        <v>50766565.210000001</v>
      </c>
      <c r="H174" s="1798"/>
      <c r="I174" s="2076">
        <v>56058470.530000001</v>
      </c>
      <c r="J174" s="1798"/>
      <c r="K174" s="2076">
        <v>18967085.710000001</v>
      </c>
      <c r="L174" s="1798"/>
      <c r="M174" s="2076">
        <v>5729498.6600000001</v>
      </c>
      <c r="N174" s="1798"/>
      <c r="O174" s="2076">
        <v>24696584.370000001</v>
      </c>
      <c r="P174" s="1282"/>
    </row>
    <row r="175" spans="2:16" s="999" customFormat="1" ht="15.75">
      <c r="B175" s="3295">
        <v>22158</v>
      </c>
      <c r="C175" s="1272"/>
      <c r="D175" s="1276" t="s">
        <v>1002</v>
      </c>
      <c r="E175" s="1274"/>
      <c r="F175" s="1274"/>
      <c r="G175" s="2076">
        <v>308891</v>
      </c>
      <c r="H175" s="1798"/>
      <c r="I175" s="2076">
        <v>83962.72</v>
      </c>
      <c r="J175" s="1798"/>
      <c r="K175" s="2076">
        <v>86813.430000000008</v>
      </c>
      <c r="L175" s="1798"/>
      <c r="M175" s="2076">
        <v>322540.46000000002</v>
      </c>
      <c r="N175" s="1798"/>
      <c r="O175" s="2076">
        <v>409353.89</v>
      </c>
      <c r="P175" s="1282"/>
    </row>
    <row r="176" spans="2:16" s="999" customFormat="1" ht="15.75">
      <c r="B176" s="3295">
        <v>22168</v>
      </c>
      <c r="C176" s="1272"/>
      <c r="D176" s="1276" t="s">
        <v>1003</v>
      </c>
      <c r="E176" s="1274"/>
      <c r="F176" s="1274"/>
      <c r="G176" s="2076">
        <v>0</v>
      </c>
      <c r="H176" s="1798"/>
      <c r="I176" s="2076">
        <v>0</v>
      </c>
      <c r="J176" s="1798"/>
      <c r="K176" s="2076">
        <v>0</v>
      </c>
      <c r="L176" s="1798"/>
      <c r="M176" s="2076">
        <v>0</v>
      </c>
      <c r="N176" s="1798"/>
      <c r="O176" s="2076">
        <v>0</v>
      </c>
      <c r="P176" s="1282"/>
    </row>
    <row r="177" spans="2:16" s="999" customFormat="1" ht="15.75">
      <c r="B177" s="3295">
        <v>22654</v>
      </c>
      <c r="C177" s="1272"/>
      <c r="D177" s="1273" t="s">
        <v>1004</v>
      </c>
      <c r="E177" s="1274"/>
      <c r="F177" s="1274"/>
      <c r="G177" s="2076">
        <v>27698170.109999999</v>
      </c>
      <c r="H177" s="1798"/>
      <c r="I177" s="2076">
        <v>27700234.260000002</v>
      </c>
      <c r="J177" s="1798"/>
      <c r="K177" s="2076">
        <v>27702299.129999999</v>
      </c>
      <c r="L177" s="1798"/>
      <c r="M177" s="2076">
        <v>1793.320000000298</v>
      </c>
      <c r="N177" s="1798"/>
      <c r="O177" s="2076">
        <v>27704092.449999999</v>
      </c>
      <c r="P177" s="1282"/>
    </row>
    <row r="178" spans="2:16" s="999" customFormat="1" ht="15.75">
      <c r="B178" s="3295">
        <v>22802</v>
      </c>
      <c r="C178" s="1272"/>
      <c r="D178" s="1276" t="s">
        <v>1005</v>
      </c>
      <c r="E178" s="1274"/>
      <c r="F178" s="1274"/>
      <c r="G178" s="2076">
        <v>0</v>
      </c>
      <c r="H178" s="1798"/>
      <c r="I178" s="2076">
        <v>0</v>
      </c>
      <c r="J178" s="1798"/>
      <c r="K178" s="2076">
        <v>0</v>
      </c>
      <c r="L178" s="1798"/>
      <c r="M178" s="2076">
        <v>0</v>
      </c>
      <c r="N178" s="1798"/>
      <c r="O178" s="2076">
        <v>0</v>
      </c>
      <c r="P178" s="1282"/>
    </row>
    <row r="179" spans="2:16" s="999" customFormat="1" ht="15.75">
      <c r="B179" s="3295">
        <v>23001</v>
      </c>
      <c r="C179" s="1272"/>
      <c r="D179" s="1273" t="s">
        <v>1006</v>
      </c>
      <c r="E179" s="1274"/>
      <c r="F179" s="1274"/>
      <c r="G179" s="2076">
        <v>5898365.6600000001</v>
      </c>
      <c r="H179" s="1798"/>
      <c r="I179" s="2076">
        <v>6155223.3399999999</v>
      </c>
      <c r="J179" s="1798"/>
      <c r="K179" s="2076">
        <v>5962738.5899999999</v>
      </c>
      <c r="L179" s="1798"/>
      <c r="M179" s="2076">
        <v>218080.62000000011</v>
      </c>
      <c r="N179" s="1798"/>
      <c r="O179" s="2076">
        <v>6180819.21</v>
      </c>
      <c r="P179" s="1282"/>
    </row>
    <row r="180" spans="2:16" s="999" customFormat="1" ht="15.75">
      <c r="B180" s="3295">
        <v>23101</v>
      </c>
      <c r="C180" s="1272"/>
      <c r="D180" s="1276" t="s">
        <v>1007</v>
      </c>
      <c r="E180" s="1274"/>
      <c r="F180" s="1274"/>
      <c r="G180" s="2076">
        <v>0</v>
      </c>
      <c r="H180" s="1798"/>
      <c r="I180" s="2076">
        <v>0</v>
      </c>
      <c r="J180" s="1798"/>
      <c r="K180" s="2076">
        <v>0</v>
      </c>
      <c r="L180" s="1798"/>
      <c r="M180" s="2076">
        <v>0</v>
      </c>
      <c r="N180" s="1798"/>
      <c r="O180" s="2076">
        <v>0</v>
      </c>
      <c r="P180" s="1282"/>
    </row>
    <row r="181" spans="2:16" s="999" customFormat="1" ht="15.75">
      <c r="B181" s="3295">
        <v>23102</v>
      </c>
      <c r="C181" s="1272"/>
      <c r="D181" s="1276" t="s">
        <v>1008</v>
      </c>
      <c r="E181" s="1274"/>
      <c r="F181" s="1274"/>
      <c r="G181" s="2076">
        <v>8705403.5899999999</v>
      </c>
      <c r="H181" s="1798"/>
      <c r="I181" s="2076">
        <v>9407927.1199999992</v>
      </c>
      <c r="J181" s="1798"/>
      <c r="K181" s="2076">
        <v>9674857.4000000004</v>
      </c>
      <c r="L181" s="1798"/>
      <c r="M181" s="2076">
        <v>-2627624.71</v>
      </c>
      <c r="N181" s="1798"/>
      <c r="O181" s="2076">
        <v>7047232.6900000004</v>
      </c>
      <c r="P181" s="1282"/>
    </row>
    <row r="182" spans="2:16" s="999" customFormat="1" ht="15.75">
      <c r="B182" s="3295">
        <v>23151</v>
      </c>
      <c r="C182" s="1272"/>
      <c r="D182" s="1273" t="s">
        <v>1009</v>
      </c>
      <c r="E182" s="1274"/>
      <c r="F182" s="1274"/>
      <c r="G182" s="2076">
        <v>29996039.289999999</v>
      </c>
      <c r="H182" s="1798"/>
      <c r="I182" s="2076">
        <v>31964273.199999999</v>
      </c>
      <c r="J182" s="1798"/>
      <c r="K182" s="2076">
        <v>34077288.770000003</v>
      </c>
      <c r="L182" s="1798"/>
      <c r="M182" s="2076">
        <v>1901058.75</v>
      </c>
      <c r="N182" s="1798"/>
      <c r="O182" s="2076">
        <v>35978347.520000003</v>
      </c>
      <c r="P182" s="1282"/>
    </row>
    <row r="183" spans="2:16" s="999" customFormat="1" ht="15.75">
      <c r="B183" s="1264">
        <v>23701</v>
      </c>
      <c r="C183" s="1272"/>
      <c r="D183" s="1273" t="s">
        <v>1286</v>
      </c>
      <c r="E183" s="1274"/>
      <c r="F183" s="1274"/>
      <c r="G183" s="2076">
        <v>0</v>
      </c>
      <c r="H183" s="1798"/>
      <c r="I183" s="2076">
        <v>0</v>
      </c>
      <c r="J183" s="1798"/>
      <c r="K183" s="2076">
        <v>0</v>
      </c>
      <c r="L183" s="1798"/>
      <c r="M183" s="2076">
        <v>0</v>
      </c>
      <c r="N183" s="1798"/>
      <c r="O183" s="2076">
        <v>0</v>
      </c>
      <c r="P183" s="1282"/>
    </row>
    <row r="184" spans="2:16" s="999" customFormat="1" ht="15.75">
      <c r="B184" s="1264">
        <v>23702</v>
      </c>
      <c r="C184" s="1272"/>
      <c r="D184" s="1276" t="s">
        <v>1287</v>
      </c>
      <c r="E184" s="1274"/>
      <c r="F184" s="1274"/>
      <c r="G184" s="2076">
        <v>367293.04</v>
      </c>
      <c r="H184" s="1798"/>
      <c r="I184" s="2076">
        <v>428667.11</v>
      </c>
      <c r="J184" s="1798"/>
      <c r="K184" s="2076">
        <v>499453.92</v>
      </c>
      <c r="L184" s="1798"/>
      <c r="M184" s="2076">
        <v>66689.960000000021</v>
      </c>
      <c r="N184" s="1798"/>
      <c r="O184" s="2076">
        <v>566143.88</v>
      </c>
      <c r="P184" s="1282"/>
    </row>
    <row r="185" spans="2:16" s="999" customFormat="1" ht="16.5" thickBot="1">
      <c r="B185" s="1800"/>
      <c r="C185" s="1349"/>
      <c r="D185" s="1268" t="s">
        <v>1010</v>
      </c>
      <c r="E185" s="1346"/>
      <c r="F185" s="1346"/>
      <c r="G185" s="2689">
        <f>ROUND(SUM(G100:G184),2)</f>
        <v>832065153.65999997</v>
      </c>
      <c r="H185" s="3300"/>
      <c r="I185" s="2689">
        <f>ROUND(SUM(I100:I184),2)</f>
        <v>906194943.97000003</v>
      </c>
      <c r="J185" s="3300"/>
      <c r="K185" s="2689">
        <f>ROUND(SUM(K100:K184),2)</f>
        <v>2174911483.5700002</v>
      </c>
      <c r="L185" s="3300"/>
      <c r="M185" s="2689">
        <f>ROUND(SUM(M100:M184),2)</f>
        <v>5191294.42</v>
      </c>
      <c r="N185" s="3300"/>
      <c r="O185" s="2689">
        <f>ROUND(SUM(O100:O184),2)</f>
        <v>2180102777.9899998</v>
      </c>
      <c r="P185" s="1282"/>
    </row>
    <row r="186" spans="2:16" s="999" customFormat="1" ht="16.5" thickTop="1">
      <c r="B186" s="1813"/>
      <c r="C186" s="1802"/>
      <c r="D186" s="1814"/>
      <c r="E186" s="1272"/>
      <c r="F186" s="1272"/>
      <c r="G186" s="2076"/>
      <c r="H186" s="1798"/>
      <c r="I186" s="2076"/>
      <c r="J186" s="1798"/>
      <c r="K186" s="2076"/>
      <c r="L186" s="1798"/>
      <c r="M186" s="2687"/>
      <c r="N186" s="1734"/>
      <c r="O186" s="2076"/>
      <c r="P186" s="1282"/>
    </row>
    <row r="187" spans="2:16" s="999" customFormat="1" ht="15.75">
      <c r="B187" s="1813"/>
      <c r="C187" s="1349"/>
      <c r="D187" s="1268" t="s">
        <v>1011</v>
      </c>
      <c r="E187" s="1346"/>
      <c r="F187" s="1346"/>
      <c r="G187" s="2076"/>
      <c r="H187" s="1798"/>
      <c r="I187" s="2076"/>
      <c r="J187" s="1798"/>
      <c r="K187" s="2076"/>
      <c r="L187" s="1798"/>
      <c r="M187" s="2688"/>
      <c r="N187" s="1809"/>
      <c r="O187" s="2076"/>
      <c r="P187" s="1282"/>
    </row>
    <row r="188" spans="2:16" s="999" customFormat="1" ht="15.75">
      <c r="B188" s="1815" t="s">
        <v>1012</v>
      </c>
      <c r="C188" s="1816"/>
      <c r="D188" s="1273" t="s">
        <v>1013</v>
      </c>
      <c r="E188" s="1817"/>
      <c r="F188" s="1817"/>
      <c r="G188" s="2076">
        <v>20545010.780000001</v>
      </c>
      <c r="H188" s="2076"/>
      <c r="I188" s="2076">
        <v>25986005.330000002</v>
      </c>
      <c r="J188" s="2076"/>
      <c r="K188" s="2076">
        <v>22512599.699999999</v>
      </c>
      <c r="L188" s="2076"/>
      <c r="M188" s="2076">
        <v>-17220139.289999999</v>
      </c>
      <c r="N188" s="2076"/>
      <c r="O188" s="2076">
        <v>5292460.41</v>
      </c>
      <c r="P188" s="1282"/>
    </row>
    <row r="189" spans="2:16" s="999" customFormat="1" ht="15.75">
      <c r="B189" s="1815" t="s">
        <v>1014</v>
      </c>
      <c r="C189" s="1816"/>
      <c r="D189" s="1273" t="s">
        <v>1015</v>
      </c>
      <c r="E189" s="1817"/>
      <c r="F189" s="1817"/>
      <c r="G189" s="2076">
        <v>98952266.827000022</v>
      </c>
      <c r="H189" s="2076"/>
      <c r="I189" s="2076">
        <v>304260968.23699999</v>
      </c>
      <c r="J189" s="2076"/>
      <c r="K189" s="2076">
        <v>526501306.93699998</v>
      </c>
      <c r="L189" s="2076"/>
      <c r="M189" s="2076">
        <v>-444375232.78999996</v>
      </c>
      <c r="N189" s="2076"/>
      <c r="O189" s="2076">
        <v>82126074.147000015</v>
      </c>
      <c r="P189" s="1282"/>
    </row>
    <row r="190" spans="2:16" s="999" customFormat="1" ht="15.75">
      <c r="B190" s="1815" t="s">
        <v>1016</v>
      </c>
      <c r="C190" s="1816"/>
      <c r="D190" s="1276" t="s">
        <v>1017</v>
      </c>
      <c r="E190" s="1817"/>
      <c r="F190" s="1817"/>
      <c r="G190" s="2076">
        <v>25047926.869999997</v>
      </c>
      <c r="H190" s="2076"/>
      <c r="I190" s="2076">
        <v>23127664.43</v>
      </c>
      <c r="J190" s="2076"/>
      <c r="K190" s="2076">
        <v>48143855.439999998</v>
      </c>
      <c r="L190" s="2076"/>
      <c r="M190" s="2076">
        <v>13625513.270000003</v>
      </c>
      <c r="N190" s="2076"/>
      <c r="O190" s="2076">
        <v>61769368.710000001</v>
      </c>
      <c r="P190" s="1282"/>
    </row>
    <row r="191" spans="2:16" s="999" customFormat="1" ht="15.75">
      <c r="B191" s="1815" t="s">
        <v>1018</v>
      </c>
      <c r="C191" s="1276"/>
      <c r="D191" s="1273" t="s">
        <v>1019</v>
      </c>
      <c r="E191" s="1817"/>
      <c r="F191" s="1817"/>
      <c r="G191" s="2076">
        <v>274385218.61000007</v>
      </c>
      <c r="H191" s="2076"/>
      <c r="I191" s="2076">
        <v>330605544.91000003</v>
      </c>
      <c r="J191" s="2076"/>
      <c r="K191" s="2076">
        <v>337068376.67000008</v>
      </c>
      <c r="L191" s="2076"/>
      <c r="M191" s="2076">
        <v>-97828339.590000093</v>
      </c>
      <c r="N191" s="2076"/>
      <c r="O191" s="2076">
        <v>239240037.07999998</v>
      </c>
      <c r="P191" s="1282"/>
    </row>
    <row r="192" spans="2:16" s="999" customFormat="1" ht="15.75">
      <c r="B192" s="3295">
        <v>31351</v>
      </c>
      <c r="C192" s="1276"/>
      <c r="D192" s="1279" t="s">
        <v>1020</v>
      </c>
      <c r="E192" s="1817"/>
      <c r="F192" s="1817"/>
      <c r="G192" s="2076">
        <v>7923440.4100000001</v>
      </c>
      <c r="H192" s="2076"/>
      <c r="I192" s="2076">
        <v>7787822.4100000001</v>
      </c>
      <c r="J192" s="2076"/>
      <c r="K192" s="2076">
        <v>7597140.8899999997</v>
      </c>
      <c r="L192" s="2076"/>
      <c r="M192" s="2076">
        <v>-409203.44999999925</v>
      </c>
      <c r="N192" s="2076"/>
      <c r="O192" s="2076">
        <v>7187937.4400000004</v>
      </c>
      <c r="P192" s="1357"/>
    </row>
    <row r="193" spans="2:16" s="999" customFormat="1" ht="15.75">
      <c r="B193" s="3013">
        <v>31354</v>
      </c>
      <c r="C193" s="1818"/>
      <c r="D193" s="1265" t="s">
        <v>1021</v>
      </c>
      <c r="E193" s="1817"/>
      <c r="F193" s="1817"/>
      <c r="G193" s="2076">
        <v>311165412.75999999</v>
      </c>
      <c r="H193" s="2076"/>
      <c r="I193" s="2076">
        <v>306158047.99000001</v>
      </c>
      <c r="J193" s="2076"/>
      <c r="K193" s="2076">
        <v>204034511.86000001</v>
      </c>
      <c r="L193" s="2076"/>
      <c r="M193" s="2076">
        <v>19406186.50999999</v>
      </c>
      <c r="N193" s="2076"/>
      <c r="O193" s="2076">
        <v>223440698.37</v>
      </c>
      <c r="P193" s="1348" t="s">
        <v>119</v>
      </c>
    </row>
    <row r="194" spans="2:16" s="999" customFormat="1" ht="15.75">
      <c r="B194" s="1359" t="s">
        <v>1022</v>
      </c>
      <c r="C194" s="1272"/>
      <c r="D194" s="1279" t="s">
        <v>1023</v>
      </c>
      <c r="E194" s="1817"/>
      <c r="F194" s="1817"/>
      <c r="G194" s="2076">
        <v>9360758.2599999309</v>
      </c>
      <c r="H194" s="2076"/>
      <c r="I194" s="2076">
        <v>10205870.039999962</v>
      </c>
      <c r="J194" s="2076"/>
      <c r="K194" s="2076">
        <v>35765509.509999961</v>
      </c>
      <c r="L194" s="2076"/>
      <c r="M194" s="2076">
        <v>-21235412.189999998</v>
      </c>
      <c r="N194" s="2076"/>
      <c r="O194" s="2076">
        <v>14530097.319999963</v>
      </c>
      <c r="P194" s="1348"/>
    </row>
    <row r="195" spans="2:16" s="999" customFormat="1" ht="15.75">
      <c r="B195" s="1819" t="s">
        <v>1288</v>
      </c>
      <c r="C195" s="1269"/>
      <c r="D195" s="1279" t="s">
        <v>1289</v>
      </c>
      <c r="E195" s="1266"/>
      <c r="F195" s="1266"/>
      <c r="G195" s="2076">
        <v>7957814.3900000006</v>
      </c>
      <c r="H195" s="2076"/>
      <c r="I195" s="2076">
        <v>17297494.559999999</v>
      </c>
      <c r="J195" s="2076"/>
      <c r="K195" s="2076">
        <v>1245658.1200000001</v>
      </c>
      <c r="L195" s="2076"/>
      <c r="M195" s="2076">
        <v>-1037</v>
      </c>
      <c r="N195" s="2076"/>
      <c r="O195" s="2076">
        <v>1244621.1200000001</v>
      </c>
      <c r="P195" s="1358"/>
    </row>
    <row r="196" spans="2:16" s="999" customFormat="1" ht="15.75">
      <c r="B196" s="3296">
        <v>25950</v>
      </c>
      <c r="C196" s="1269"/>
      <c r="D196" s="1279" t="s">
        <v>1024</v>
      </c>
      <c r="E196" s="1280"/>
      <c r="F196" s="1280"/>
      <c r="G196" s="2076">
        <v>0</v>
      </c>
      <c r="H196" s="2076"/>
      <c r="I196" s="2076">
        <v>0</v>
      </c>
      <c r="J196" s="2076"/>
      <c r="K196" s="2076">
        <v>0</v>
      </c>
      <c r="L196" s="2076"/>
      <c r="M196" s="2076">
        <v>0</v>
      </c>
      <c r="N196" s="2076"/>
      <c r="O196" s="2076">
        <v>0</v>
      </c>
      <c r="P196" s="1358"/>
    </row>
    <row r="197" spans="2:16" s="999" customFormat="1" ht="15.75">
      <c r="B197" s="1819" t="s">
        <v>1290</v>
      </c>
      <c r="C197" s="1269"/>
      <c r="D197" s="1277" t="s">
        <v>1291</v>
      </c>
      <c r="E197" s="1266"/>
      <c r="F197" s="1266"/>
      <c r="G197" s="2076">
        <v>416113.01</v>
      </c>
      <c r="H197" s="2076"/>
      <c r="I197" s="2076">
        <v>2821695.9699999997</v>
      </c>
      <c r="J197" s="2076"/>
      <c r="K197" s="2076">
        <v>517966.32</v>
      </c>
      <c r="L197" s="2076"/>
      <c r="M197" s="2076">
        <v>782478.32999999984</v>
      </c>
      <c r="N197" s="2076"/>
      <c r="O197" s="2076">
        <v>1300444.6499999999</v>
      </c>
      <c r="P197" s="1358"/>
    </row>
    <row r="198" spans="2:16" s="999" customFormat="1" ht="16.5" thickBot="1">
      <c r="B198" s="1360"/>
      <c r="C198" s="1353"/>
      <c r="D198" s="1268" t="s">
        <v>1025</v>
      </c>
      <c r="E198" s="1270"/>
      <c r="F198" s="1270"/>
      <c r="G198" s="2689">
        <f>ROUND(SUM(G188:G197),2)</f>
        <v>755753961.91999996</v>
      </c>
      <c r="H198" s="1855"/>
      <c r="I198" s="2689">
        <f>ROUND(SUM(I188:I197),2)</f>
        <v>1028251113.88</v>
      </c>
      <c r="J198" s="1855"/>
      <c r="K198" s="2689">
        <f>ROUND(SUM(K188:K197),2)</f>
        <v>1183386925.45</v>
      </c>
      <c r="L198" s="1855"/>
      <c r="M198" s="2689">
        <f>ROUND(SUM(M188:M197),2)</f>
        <v>-547255186.20000005</v>
      </c>
      <c r="N198" s="1855"/>
      <c r="O198" s="2689">
        <f>ROUND(SUM(O188:O197),2)</f>
        <v>636131739.25</v>
      </c>
      <c r="P198" s="2033" t="s">
        <v>1171</v>
      </c>
    </row>
    <row r="199" spans="2:16" s="999" customFormat="1" ht="16.5" thickTop="1">
      <c r="B199" s="1800"/>
      <c r="C199" s="1353"/>
      <c r="D199" s="1281"/>
      <c r="E199" s="1270"/>
      <c r="F199" s="1270"/>
      <c r="G199" s="2690"/>
      <c r="H199" s="1821"/>
      <c r="I199" s="2690"/>
      <c r="J199" s="1821"/>
      <c r="K199" s="2690"/>
      <c r="L199" s="1821"/>
      <c r="M199" s="2688"/>
      <c r="N199" s="1809"/>
      <c r="O199" s="2690"/>
      <c r="P199" s="1359"/>
    </row>
    <row r="200" spans="2:16" s="999" customFormat="1" ht="15.75">
      <c r="B200" s="1813"/>
      <c r="C200" s="1353"/>
      <c r="D200" s="1263" t="s">
        <v>1026</v>
      </c>
      <c r="E200" s="1270"/>
      <c r="F200" s="1270"/>
      <c r="G200" s="2076"/>
      <c r="H200" s="1798"/>
      <c r="I200" s="2076"/>
      <c r="J200" s="1798"/>
      <c r="K200" s="2076"/>
      <c r="L200" s="1798"/>
      <c r="M200" s="2688"/>
      <c r="N200" s="1809"/>
      <c r="O200" s="2076"/>
      <c r="P200" s="1291"/>
    </row>
    <row r="201" spans="2:16" s="999" customFormat="1" ht="15.75">
      <c r="B201" s="3297">
        <v>60201</v>
      </c>
      <c r="C201" s="1349"/>
      <c r="D201" s="1273" t="s">
        <v>1027</v>
      </c>
      <c r="E201" s="1270"/>
      <c r="F201" s="1270"/>
      <c r="G201" s="2076">
        <v>0</v>
      </c>
      <c r="H201" s="1798"/>
      <c r="I201" s="2076">
        <v>0</v>
      </c>
      <c r="J201" s="1798"/>
      <c r="K201" s="2076">
        <v>0</v>
      </c>
      <c r="L201" s="1798"/>
      <c r="M201" s="2076">
        <f>ROUND(SUM(O201)-SUM(K201),2)</f>
        <v>0</v>
      </c>
      <c r="N201" s="1798"/>
      <c r="O201" s="2076">
        <v>0</v>
      </c>
      <c r="P201" s="1291"/>
    </row>
    <row r="202" spans="2:16" s="999" customFormat="1" ht="15.75">
      <c r="B202" s="3295">
        <v>60901</v>
      </c>
      <c r="C202" s="1272"/>
      <c r="D202" s="1276" t="s">
        <v>1326</v>
      </c>
      <c r="E202" s="1274"/>
      <c r="F202" s="1274"/>
      <c r="G202" s="2076">
        <v>0</v>
      </c>
      <c r="H202" s="1798"/>
      <c r="I202" s="2076">
        <v>0</v>
      </c>
      <c r="J202" s="1798"/>
      <c r="K202" s="2076">
        <v>0</v>
      </c>
      <c r="L202" s="1798"/>
      <c r="M202" s="2076">
        <f>ROUND(SUM(O202)-SUM(K202),2)</f>
        <v>0</v>
      </c>
      <c r="N202" s="1798"/>
      <c r="O202" s="2076">
        <v>0</v>
      </c>
      <c r="P202" s="1291"/>
    </row>
    <row r="203" spans="2:16" s="999" customFormat="1" ht="16.5" thickBot="1">
      <c r="B203" s="1264"/>
      <c r="C203" s="1349"/>
      <c r="D203" s="1263" t="s">
        <v>1028</v>
      </c>
      <c r="E203" s="1270"/>
      <c r="F203" s="1270"/>
      <c r="G203" s="2689">
        <f>ROUND(SUM(G201:G202),2)</f>
        <v>0</v>
      </c>
      <c r="H203" s="1855"/>
      <c r="I203" s="2689">
        <f>ROUND(SUM(I201:I202),2)</f>
        <v>0</v>
      </c>
      <c r="J203" s="1855"/>
      <c r="K203" s="2689">
        <f>ROUND(SUM(K201:K202),2)</f>
        <v>0</v>
      </c>
      <c r="L203" s="1855"/>
      <c r="M203" s="2689">
        <f>ROUND(SUM(M201:M202),2)</f>
        <v>0</v>
      </c>
      <c r="N203" s="1855"/>
      <c r="O203" s="2689">
        <f>ROUND(SUM(O201:O202),2)</f>
        <v>0</v>
      </c>
      <c r="P203" s="1282"/>
    </row>
    <row r="204" spans="2:16" s="999" customFormat="1" ht="16.5" thickTop="1">
      <c r="B204" s="1264"/>
      <c r="C204" s="1361"/>
      <c r="D204" s="1361"/>
      <c r="E204" s="1362"/>
      <c r="F204" s="1362"/>
      <c r="G204" s="2076"/>
      <c r="H204" s="1798"/>
      <c r="I204" s="2076"/>
      <c r="J204" s="1798"/>
      <c r="K204" s="2076"/>
      <c r="L204" s="1798"/>
      <c r="M204" s="2687"/>
      <c r="N204" s="1734"/>
      <c r="O204" s="2076"/>
      <c r="P204" s="1267"/>
    </row>
    <row r="205" spans="2:16" s="999" customFormat="1" ht="15.75">
      <c r="B205" s="1264"/>
      <c r="C205" s="1801"/>
      <c r="D205" s="1263" t="s">
        <v>1029</v>
      </c>
      <c r="E205" s="1808"/>
      <c r="F205" s="1808"/>
      <c r="G205" s="2076"/>
      <c r="H205" s="1798"/>
      <c r="I205" s="2076"/>
      <c r="J205" s="1798"/>
      <c r="K205" s="2076"/>
      <c r="L205" s="1798"/>
      <c r="M205" s="2691"/>
      <c r="N205" s="1354"/>
      <c r="O205" s="2076"/>
      <c r="P205" s="1359"/>
    </row>
    <row r="206" spans="2:16" s="999" customFormat="1" ht="15.75">
      <c r="B206" s="3295">
        <v>50318</v>
      </c>
      <c r="C206" s="1802"/>
      <c r="D206" s="1277" t="s">
        <v>1030</v>
      </c>
      <c r="E206" s="1351"/>
      <c r="F206" s="1351"/>
      <c r="G206" s="1804">
        <v>0</v>
      </c>
      <c r="H206" s="1822"/>
      <c r="I206" s="1804">
        <v>0</v>
      </c>
      <c r="J206" s="1822"/>
      <c r="K206" s="1804">
        <v>0</v>
      </c>
      <c r="L206" s="1822"/>
      <c r="M206" s="1804">
        <f>ROUND(SUM(O206)-SUM(K206),2)</f>
        <v>0</v>
      </c>
      <c r="N206" s="1822"/>
      <c r="O206" s="1804">
        <v>0</v>
      </c>
      <c r="P206" s="1291"/>
    </row>
    <row r="207" spans="2:16" s="999" customFormat="1" ht="16.5" thickBot="1">
      <c r="B207" s="1275"/>
      <c r="C207" s="1349"/>
      <c r="D207" s="1268" t="s">
        <v>1031</v>
      </c>
      <c r="E207" s="1346"/>
      <c r="F207" s="1346"/>
      <c r="G207" s="1820">
        <f>ROUND(SUM(G206),2)</f>
        <v>0</v>
      </c>
      <c r="H207" s="1855"/>
      <c r="I207" s="1820">
        <f>ROUND(SUM(I206),2)</f>
        <v>0</v>
      </c>
      <c r="J207" s="1855"/>
      <c r="K207" s="1820">
        <f>ROUND(SUM(K206),2)</f>
        <v>0</v>
      </c>
      <c r="L207" s="1855"/>
      <c r="M207" s="1820">
        <f>ROUND(SUM(M206),2)</f>
        <v>0</v>
      </c>
      <c r="N207" s="1855"/>
      <c r="O207" s="1820">
        <f>ROUND(SUM(O206),2)</f>
        <v>0</v>
      </c>
      <c r="P207" s="1357"/>
    </row>
    <row r="208" spans="2:16" s="999" customFormat="1" ht="16.5" thickTop="1">
      <c r="B208" s="1802"/>
      <c r="C208" s="1802"/>
      <c r="D208" s="1823"/>
      <c r="E208" s="1351"/>
      <c r="F208" s="1351"/>
      <c r="G208" s="1810"/>
      <c r="H208" s="1810"/>
      <c r="I208" s="1810"/>
      <c r="J208" s="1810"/>
      <c r="K208" s="1810"/>
      <c r="L208" s="1810"/>
      <c r="M208" s="1824"/>
      <c r="N208" s="1824"/>
      <c r="O208" s="1810"/>
      <c r="P208" s="1360"/>
    </row>
    <row r="209" spans="2:16" s="999" customFormat="1" ht="15.75">
      <c r="B209" s="1463"/>
      <c r="C209" s="1349"/>
      <c r="D209" s="1263" t="s">
        <v>234</v>
      </c>
      <c r="E209" s="1346"/>
      <c r="F209" s="1346"/>
      <c r="G209" s="1798"/>
      <c r="H209" s="1798"/>
      <c r="I209" s="1798"/>
      <c r="J209" s="1798"/>
      <c r="K209" s="1798"/>
      <c r="L209" s="1798"/>
      <c r="M209" s="1809"/>
      <c r="N209" s="1809"/>
      <c r="O209" s="1798"/>
      <c r="P209" s="1351"/>
    </row>
    <row r="210" spans="2:16" s="999" customFormat="1" ht="15.75">
      <c r="B210" s="3295">
        <v>55001</v>
      </c>
      <c r="C210" s="1802"/>
      <c r="D210" s="1277" t="s">
        <v>1032</v>
      </c>
      <c r="E210" s="1351"/>
      <c r="F210" s="1351"/>
      <c r="G210" s="2076">
        <v>935073.69000000006</v>
      </c>
      <c r="H210" s="1798"/>
      <c r="I210" s="2076">
        <v>786589.38</v>
      </c>
      <c r="J210" s="1798"/>
      <c r="K210" s="2076">
        <v>466098.18</v>
      </c>
      <c r="L210" s="1798"/>
      <c r="M210" s="2076">
        <v>-201875.05</v>
      </c>
      <c r="N210" s="1798"/>
      <c r="O210" s="2076">
        <v>264223.13</v>
      </c>
      <c r="P210" s="1356"/>
    </row>
    <row r="211" spans="2:16" s="999" customFormat="1" ht="15.75">
      <c r="B211" s="3295">
        <v>55002</v>
      </c>
      <c r="C211" s="1272"/>
      <c r="D211" s="1276" t="s">
        <v>1033</v>
      </c>
      <c r="E211" s="1274"/>
      <c r="F211" s="1274"/>
      <c r="G211" s="2076">
        <v>1172414.1499999999</v>
      </c>
      <c r="H211" s="1798"/>
      <c r="I211" s="2076">
        <v>1172485.03</v>
      </c>
      <c r="J211" s="1798"/>
      <c r="K211" s="2076">
        <v>1608733.5</v>
      </c>
      <c r="L211" s="1798"/>
      <c r="M211" s="2076">
        <v>186927.16999999993</v>
      </c>
      <c r="N211" s="1798"/>
      <c r="O211" s="2076">
        <v>1795660.67</v>
      </c>
      <c r="P211" s="1282"/>
    </row>
    <row r="212" spans="2:16" s="999" customFormat="1" ht="15.75">
      <c r="B212" s="3295">
        <v>55003</v>
      </c>
      <c r="C212" s="1272"/>
      <c r="D212" s="1277" t="s">
        <v>1034</v>
      </c>
      <c r="E212" s="1274"/>
      <c r="F212" s="1274"/>
      <c r="G212" s="1804">
        <v>2332157.2200000002</v>
      </c>
      <c r="H212" s="1822"/>
      <c r="I212" s="1804">
        <v>2457631.8199999998</v>
      </c>
      <c r="J212" s="1822"/>
      <c r="K212" s="1804">
        <v>2659589.66</v>
      </c>
      <c r="L212" s="1822"/>
      <c r="M212" s="1804">
        <v>89637.879999999888</v>
      </c>
      <c r="N212" s="1822"/>
      <c r="O212" s="1804">
        <v>2749227.54</v>
      </c>
      <c r="P212" s="1282"/>
    </row>
    <row r="213" spans="2:16" s="999" customFormat="1" ht="15.75">
      <c r="B213" s="3295">
        <v>55004</v>
      </c>
      <c r="C213" s="1269"/>
      <c r="D213" s="1825" t="s">
        <v>1035</v>
      </c>
      <c r="E213" s="1281"/>
      <c r="F213" s="1281"/>
      <c r="G213" s="1810">
        <v>845617.99</v>
      </c>
      <c r="H213" s="1798"/>
      <c r="I213" s="1810">
        <v>983140.84</v>
      </c>
      <c r="J213" s="1798"/>
      <c r="K213" s="1810">
        <v>363143.53</v>
      </c>
      <c r="L213" s="1798"/>
      <c r="M213" s="1810">
        <v>-363143.53</v>
      </c>
      <c r="N213" s="1798"/>
      <c r="O213" s="1810">
        <v>0</v>
      </c>
      <c r="P213" s="1282"/>
    </row>
    <row r="214" spans="2:16" s="999" customFormat="1" ht="15.75">
      <c r="B214" s="3295">
        <v>55005</v>
      </c>
      <c r="C214" s="1272"/>
      <c r="D214" s="1277" t="s">
        <v>1036</v>
      </c>
      <c r="E214" s="1274"/>
      <c r="F214" s="1274"/>
      <c r="G214" s="1810">
        <v>564870.19000000006</v>
      </c>
      <c r="H214" s="1798"/>
      <c r="I214" s="1810">
        <v>0</v>
      </c>
      <c r="J214" s="1798"/>
      <c r="K214" s="1810">
        <v>0</v>
      </c>
      <c r="L214" s="1798"/>
      <c r="M214" s="1810">
        <v>0</v>
      </c>
      <c r="N214" s="1798"/>
      <c r="O214" s="1810">
        <v>0</v>
      </c>
      <c r="P214" s="1282"/>
    </row>
    <row r="215" spans="2:16" s="999" customFormat="1" ht="15.75">
      <c r="B215" s="3295">
        <v>55006</v>
      </c>
      <c r="C215" s="1269"/>
      <c r="D215" s="1277" t="s">
        <v>1037</v>
      </c>
      <c r="E215" s="1281"/>
      <c r="F215" s="1281"/>
      <c r="G215" s="2076">
        <v>0</v>
      </c>
      <c r="H215" s="1798"/>
      <c r="I215" s="2076">
        <v>0</v>
      </c>
      <c r="J215" s="1798"/>
      <c r="K215" s="2076">
        <v>0</v>
      </c>
      <c r="L215" s="1798"/>
      <c r="M215" s="2076">
        <v>0</v>
      </c>
      <c r="N215" s="1798"/>
      <c r="O215" s="2076">
        <v>0</v>
      </c>
      <c r="P215" s="1282"/>
    </row>
    <row r="216" spans="2:16" s="999" customFormat="1" ht="15.75">
      <c r="B216" s="3295">
        <v>55007</v>
      </c>
      <c r="C216" s="1811"/>
      <c r="D216" s="1265" t="s">
        <v>1038</v>
      </c>
      <c r="E216" s="1799"/>
      <c r="F216" s="1799"/>
      <c r="G216" s="2076">
        <v>3087565.6</v>
      </c>
      <c r="H216" s="1798"/>
      <c r="I216" s="2076">
        <v>2745208.68</v>
      </c>
      <c r="J216" s="1798"/>
      <c r="K216" s="2076">
        <v>3363216.99</v>
      </c>
      <c r="L216" s="1798"/>
      <c r="M216" s="2076">
        <v>84581.729999999981</v>
      </c>
      <c r="N216" s="1798"/>
      <c r="O216" s="2076">
        <v>3447798.72</v>
      </c>
      <c r="P216" s="1356"/>
    </row>
    <row r="217" spans="2:16" s="999" customFormat="1" ht="15.75">
      <c r="B217" s="3295">
        <v>55008</v>
      </c>
      <c r="C217" s="1272"/>
      <c r="D217" s="1279" t="s">
        <v>1039</v>
      </c>
      <c r="E217" s="1274"/>
      <c r="F217" s="1274"/>
      <c r="G217" s="1804">
        <v>21111601.09</v>
      </c>
      <c r="H217" s="1822"/>
      <c r="I217" s="1804">
        <v>19207717.289999999</v>
      </c>
      <c r="J217" s="1822"/>
      <c r="K217" s="1804">
        <v>17923836.129999999</v>
      </c>
      <c r="L217" s="1822"/>
      <c r="M217" s="1804">
        <v>8665332.4200000018</v>
      </c>
      <c r="N217" s="1822"/>
      <c r="O217" s="1804">
        <v>26589168.550000001</v>
      </c>
      <c r="P217" s="1357"/>
    </row>
    <row r="218" spans="2:16" s="999" customFormat="1" ht="15.75">
      <c r="B218" s="3013">
        <v>55009</v>
      </c>
      <c r="C218" s="1811"/>
      <c r="D218" s="1265" t="s">
        <v>1040</v>
      </c>
      <c r="E218" s="1799"/>
      <c r="F218" s="1799"/>
      <c r="G218" s="1810">
        <v>0</v>
      </c>
      <c r="H218" s="1798"/>
      <c r="I218" s="1810">
        <v>0</v>
      </c>
      <c r="J218" s="1798"/>
      <c r="K218" s="1810">
        <v>0</v>
      </c>
      <c r="L218" s="1798"/>
      <c r="M218" s="1810">
        <v>0</v>
      </c>
      <c r="N218" s="1798"/>
      <c r="O218" s="1810">
        <v>0</v>
      </c>
      <c r="P218" s="1351"/>
    </row>
    <row r="219" spans="2:16" s="999" customFormat="1" ht="15.75">
      <c r="B219" s="3013">
        <v>55010</v>
      </c>
      <c r="C219" s="1272"/>
      <c r="D219" s="1277" t="s">
        <v>1327</v>
      </c>
      <c r="E219" s="1274"/>
      <c r="F219" s="1274"/>
      <c r="G219" s="1810">
        <v>155597.84</v>
      </c>
      <c r="H219" s="1798"/>
      <c r="I219" s="1810">
        <v>0</v>
      </c>
      <c r="J219" s="1798"/>
      <c r="K219" s="1810">
        <v>0</v>
      </c>
      <c r="L219" s="1798"/>
      <c r="M219" s="1810">
        <v>771244.03</v>
      </c>
      <c r="N219" s="1810"/>
      <c r="O219" s="1810">
        <v>771244.03</v>
      </c>
      <c r="P219" s="1351"/>
    </row>
    <row r="220" spans="2:16" s="999" customFormat="1" ht="15.75">
      <c r="B220" s="3295">
        <v>55011</v>
      </c>
      <c r="C220" s="1811"/>
      <c r="D220" s="1265" t="s">
        <v>1041</v>
      </c>
      <c r="E220" s="1799"/>
      <c r="F220" s="1799"/>
      <c r="G220" s="2076">
        <v>2659603.42</v>
      </c>
      <c r="H220" s="1798"/>
      <c r="I220" s="2076">
        <v>2591778.39</v>
      </c>
      <c r="J220" s="1798"/>
      <c r="K220" s="2076">
        <v>2875043.9</v>
      </c>
      <c r="L220" s="1798"/>
      <c r="M220" s="2076">
        <v>-397658.33999999985</v>
      </c>
      <c r="N220" s="1798"/>
      <c r="O220" s="2076">
        <v>2477385.56</v>
      </c>
      <c r="P220" s="1282"/>
    </row>
    <row r="221" spans="2:16" s="999" customFormat="1" ht="15.75">
      <c r="B221" s="3295">
        <v>55012</v>
      </c>
      <c r="C221" s="1272"/>
      <c r="D221" s="1273" t="s">
        <v>1042</v>
      </c>
      <c r="E221" s="1274"/>
      <c r="F221" s="1274"/>
      <c r="G221" s="2076">
        <v>0</v>
      </c>
      <c r="H221" s="1798"/>
      <c r="I221" s="2076">
        <v>19306.2</v>
      </c>
      <c r="J221" s="1798"/>
      <c r="K221" s="2076">
        <v>5229.1000000000004</v>
      </c>
      <c r="L221" s="1798"/>
      <c r="M221" s="2076">
        <v>-5229.1000000000004</v>
      </c>
      <c r="N221" s="1798"/>
      <c r="O221" s="2076">
        <v>0</v>
      </c>
      <c r="P221" s="1282"/>
    </row>
    <row r="222" spans="2:16" s="999" customFormat="1" ht="15.75">
      <c r="B222" s="3295">
        <v>55013</v>
      </c>
      <c r="C222" s="1272"/>
      <c r="D222" s="1276" t="s">
        <v>1043</v>
      </c>
      <c r="E222" s="1274"/>
      <c r="F222" s="1274"/>
      <c r="G222" s="2076">
        <v>0</v>
      </c>
      <c r="H222" s="1798"/>
      <c r="I222" s="2076">
        <v>0</v>
      </c>
      <c r="J222" s="1798"/>
      <c r="K222" s="2076">
        <v>0</v>
      </c>
      <c r="L222" s="1798"/>
      <c r="M222" s="2076">
        <v>0</v>
      </c>
      <c r="N222" s="1798"/>
      <c r="O222" s="2076">
        <v>0</v>
      </c>
      <c r="P222" s="1282"/>
    </row>
    <row r="223" spans="2:16" s="999" customFormat="1" ht="15.75">
      <c r="B223" s="3295">
        <v>55014</v>
      </c>
      <c r="C223" s="1272"/>
      <c r="D223" s="1273" t="s">
        <v>1044</v>
      </c>
      <c r="E223" s="1274"/>
      <c r="F223" s="1274"/>
      <c r="G223" s="2076">
        <v>0</v>
      </c>
      <c r="H223" s="1798"/>
      <c r="I223" s="2076">
        <v>0</v>
      </c>
      <c r="J223" s="1798"/>
      <c r="K223" s="2076">
        <v>0</v>
      </c>
      <c r="L223" s="1798"/>
      <c r="M223" s="2076">
        <v>0</v>
      </c>
      <c r="N223" s="1798"/>
      <c r="O223" s="2076">
        <v>0</v>
      </c>
      <c r="P223" s="1282"/>
    </row>
    <row r="224" spans="2:16" s="999" customFormat="1" ht="15.75">
      <c r="B224" s="3295">
        <v>55015</v>
      </c>
      <c r="C224" s="1272"/>
      <c r="D224" s="1276" t="s">
        <v>1045</v>
      </c>
      <c r="E224" s="1274"/>
      <c r="F224" s="1274"/>
      <c r="G224" s="2076">
        <v>0</v>
      </c>
      <c r="H224" s="1798"/>
      <c r="I224" s="2076">
        <v>0</v>
      </c>
      <c r="J224" s="1798"/>
      <c r="K224" s="2076">
        <v>0</v>
      </c>
      <c r="L224" s="1798"/>
      <c r="M224" s="2076">
        <v>0</v>
      </c>
      <c r="N224" s="1798"/>
      <c r="O224" s="2076">
        <v>0</v>
      </c>
      <c r="P224" s="1282"/>
    </row>
    <row r="225" spans="2:16" s="999" customFormat="1" ht="15.75">
      <c r="B225" s="3295">
        <v>55016</v>
      </c>
      <c r="C225" s="1272"/>
      <c r="D225" s="1276" t="s">
        <v>1046</v>
      </c>
      <c r="E225" s="1274"/>
      <c r="F225" s="1274"/>
      <c r="G225" s="2076">
        <v>26961.54</v>
      </c>
      <c r="H225" s="1798"/>
      <c r="I225" s="2076">
        <v>26961.54</v>
      </c>
      <c r="J225" s="1798"/>
      <c r="K225" s="2076">
        <v>26961.54</v>
      </c>
      <c r="L225" s="1798"/>
      <c r="M225" s="2076">
        <v>0</v>
      </c>
      <c r="N225" s="1798"/>
      <c r="O225" s="2076">
        <v>26961.54</v>
      </c>
      <c r="P225" s="1282"/>
    </row>
    <row r="226" spans="2:16" s="999" customFormat="1" ht="15.75">
      <c r="B226" s="3295">
        <v>55017</v>
      </c>
      <c r="C226" s="1272"/>
      <c r="D226" s="1276" t="s">
        <v>1047</v>
      </c>
      <c r="E226" s="1274"/>
      <c r="F226" s="1274"/>
      <c r="G226" s="2076">
        <v>505375.14</v>
      </c>
      <c r="H226" s="1798"/>
      <c r="I226" s="2076">
        <v>568682.70000000007</v>
      </c>
      <c r="J226" s="1798"/>
      <c r="K226" s="2076">
        <v>430764.91000000003</v>
      </c>
      <c r="L226" s="1798"/>
      <c r="M226" s="2076">
        <v>207521.44999999995</v>
      </c>
      <c r="N226" s="1798"/>
      <c r="O226" s="2076">
        <v>638286.36</v>
      </c>
      <c r="P226" s="1282"/>
    </row>
    <row r="227" spans="2:16" s="999" customFormat="1" ht="15.75">
      <c r="B227" s="3295">
        <v>55018</v>
      </c>
      <c r="C227" s="1272"/>
      <c r="D227" s="1276" t="s">
        <v>1048</v>
      </c>
      <c r="E227" s="1274"/>
      <c r="F227" s="1274"/>
      <c r="G227" s="2076">
        <v>0</v>
      </c>
      <c r="H227" s="1798"/>
      <c r="I227" s="2076">
        <v>0</v>
      </c>
      <c r="J227" s="1798"/>
      <c r="K227" s="2076">
        <v>0</v>
      </c>
      <c r="L227" s="1798"/>
      <c r="M227" s="2076">
        <v>0</v>
      </c>
      <c r="N227" s="1798"/>
      <c r="O227" s="2076">
        <v>0</v>
      </c>
      <c r="P227" s="1282"/>
    </row>
    <row r="228" spans="2:16" s="999" customFormat="1" ht="15.75">
      <c r="B228" s="3295">
        <v>55019</v>
      </c>
      <c r="C228" s="1272"/>
      <c r="D228" s="1276" t="s">
        <v>1049</v>
      </c>
      <c r="E228" s="1274"/>
      <c r="F228" s="1274"/>
      <c r="G228" s="2076">
        <v>0</v>
      </c>
      <c r="H228" s="1798"/>
      <c r="I228" s="2076">
        <v>0</v>
      </c>
      <c r="J228" s="1798"/>
      <c r="K228" s="2076">
        <v>0</v>
      </c>
      <c r="L228" s="1798"/>
      <c r="M228" s="2076">
        <v>0</v>
      </c>
      <c r="N228" s="1798"/>
      <c r="O228" s="2076">
        <v>0</v>
      </c>
      <c r="P228" s="1282"/>
    </row>
    <row r="229" spans="2:16" s="999" customFormat="1" ht="15.75">
      <c r="B229" s="3295">
        <v>55020</v>
      </c>
      <c r="C229" s="1272"/>
      <c r="D229" s="1276" t="s">
        <v>1050</v>
      </c>
      <c r="E229" s="1274"/>
      <c r="F229" s="1274"/>
      <c r="G229" s="2076">
        <v>81474221.340000004</v>
      </c>
      <c r="H229" s="1798"/>
      <c r="I229" s="2076">
        <v>85964739.329999998</v>
      </c>
      <c r="J229" s="1798"/>
      <c r="K229" s="2076">
        <v>84234471.469999999</v>
      </c>
      <c r="L229" s="1798"/>
      <c r="M229" s="2076">
        <v>2738975.4399999976</v>
      </c>
      <c r="N229" s="1798"/>
      <c r="O229" s="2076">
        <v>86973446.909999996</v>
      </c>
      <c r="P229" s="1282"/>
    </row>
    <row r="230" spans="2:16" s="999" customFormat="1" ht="15.75">
      <c r="B230" s="3295">
        <v>55021</v>
      </c>
      <c r="C230" s="1272"/>
      <c r="D230" s="1276" t="s">
        <v>1051</v>
      </c>
      <c r="E230" s="1274"/>
      <c r="F230" s="1274"/>
      <c r="G230" s="2076">
        <v>671233.58</v>
      </c>
      <c r="H230" s="1798"/>
      <c r="I230" s="2076">
        <v>714923.84</v>
      </c>
      <c r="J230" s="1798"/>
      <c r="K230" s="2076">
        <v>1599596.67</v>
      </c>
      <c r="L230" s="1798"/>
      <c r="M230" s="2076">
        <v>245278.76000000024</v>
      </c>
      <c r="N230" s="1798"/>
      <c r="O230" s="2076">
        <v>1844875.4300000002</v>
      </c>
      <c r="P230" s="1282"/>
    </row>
    <row r="231" spans="2:16" s="999" customFormat="1" ht="15.75">
      <c r="B231" s="3295">
        <v>55022</v>
      </c>
      <c r="C231" s="1272"/>
      <c r="D231" s="1273" t="s">
        <v>1052</v>
      </c>
      <c r="E231" s="1274"/>
      <c r="F231" s="1274"/>
      <c r="G231" s="2076">
        <v>1081034.8899999999</v>
      </c>
      <c r="H231" s="1798"/>
      <c r="I231" s="2076">
        <v>1292046.9100000001</v>
      </c>
      <c r="J231" s="1798"/>
      <c r="K231" s="2076">
        <v>1907826.44</v>
      </c>
      <c r="L231" s="1798"/>
      <c r="M231" s="2076">
        <v>-95646.600000000093</v>
      </c>
      <c r="N231" s="1798"/>
      <c r="O231" s="2076">
        <v>1812179.8399999999</v>
      </c>
      <c r="P231" s="1282"/>
    </row>
    <row r="232" spans="2:16" s="999" customFormat="1" ht="15.75">
      <c r="B232" s="3295">
        <v>55052</v>
      </c>
      <c r="C232" s="1272"/>
      <c r="D232" s="1273" t="s">
        <v>1053</v>
      </c>
      <c r="E232" s="1274"/>
      <c r="F232" s="1274"/>
      <c r="G232" s="2076">
        <v>0</v>
      </c>
      <c r="H232" s="1798"/>
      <c r="I232" s="2076">
        <v>0</v>
      </c>
      <c r="J232" s="1798"/>
      <c r="K232" s="2076">
        <v>0</v>
      </c>
      <c r="L232" s="1798"/>
      <c r="M232" s="2076">
        <v>0</v>
      </c>
      <c r="N232" s="1798"/>
      <c r="O232" s="2076">
        <v>0</v>
      </c>
      <c r="P232" s="1282"/>
    </row>
    <row r="233" spans="2:16" s="999" customFormat="1" ht="15.75">
      <c r="B233" s="3295">
        <v>55053</v>
      </c>
      <c r="C233" s="1272"/>
      <c r="D233" s="1276" t="s">
        <v>1054</v>
      </c>
      <c r="E233" s="1274"/>
      <c r="F233" s="1274"/>
      <c r="G233" s="2076">
        <v>0</v>
      </c>
      <c r="H233" s="1798"/>
      <c r="I233" s="2076">
        <v>0</v>
      </c>
      <c r="J233" s="1798"/>
      <c r="K233" s="2076">
        <v>0</v>
      </c>
      <c r="L233" s="1798"/>
      <c r="M233" s="2076">
        <v>0</v>
      </c>
      <c r="N233" s="1798"/>
      <c r="O233" s="2076">
        <v>0</v>
      </c>
      <c r="P233" s="1282"/>
    </row>
    <row r="234" spans="2:16" s="999" customFormat="1" ht="15.75">
      <c r="B234" s="3295">
        <v>55055</v>
      </c>
      <c r="C234" s="1272"/>
      <c r="D234" s="1276" t="s">
        <v>1055</v>
      </c>
      <c r="E234" s="1274"/>
      <c r="F234" s="1274"/>
      <c r="G234" s="2076">
        <v>0</v>
      </c>
      <c r="H234" s="1798"/>
      <c r="I234" s="2076">
        <v>0</v>
      </c>
      <c r="J234" s="1798"/>
      <c r="K234" s="2076">
        <v>0</v>
      </c>
      <c r="L234" s="1798"/>
      <c r="M234" s="2076">
        <v>0</v>
      </c>
      <c r="N234" s="1798"/>
      <c r="O234" s="2076">
        <v>0</v>
      </c>
      <c r="P234" s="1282"/>
    </row>
    <row r="235" spans="2:16" s="999" customFormat="1" ht="15.75">
      <c r="B235" s="3295">
        <v>55056</v>
      </c>
      <c r="C235" s="1272"/>
      <c r="D235" s="1276" t="s">
        <v>1056</v>
      </c>
      <c r="E235" s="1274"/>
      <c r="F235" s="1274"/>
      <c r="G235" s="2076">
        <v>0</v>
      </c>
      <c r="H235" s="1798"/>
      <c r="I235" s="2076">
        <v>0</v>
      </c>
      <c r="J235" s="1798"/>
      <c r="K235" s="2076">
        <v>0</v>
      </c>
      <c r="L235" s="1798"/>
      <c r="M235" s="2076">
        <v>0</v>
      </c>
      <c r="N235" s="1798"/>
      <c r="O235" s="2076">
        <v>0</v>
      </c>
      <c r="P235" s="1282"/>
    </row>
    <row r="236" spans="2:16" s="999" customFormat="1" ht="15.75">
      <c r="B236" s="3295">
        <v>55057</v>
      </c>
      <c r="C236" s="1272"/>
      <c r="D236" s="1276" t="s">
        <v>1057</v>
      </c>
      <c r="E236" s="1274"/>
      <c r="F236" s="1274"/>
      <c r="G236" s="2076">
        <v>34791.870000000003</v>
      </c>
      <c r="H236" s="1798"/>
      <c r="I236" s="2076">
        <v>187356.85</v>
      </c>
      <c r="J236" s="1798"/>
      <c r="K236" s="2076">
        <v>875471.11</v>
      </c>
      <c r="L236" s="1798"/>
      <c r="M236" s="2076">
        <v>-840848.96</v>
      </c>
      <c r="N236" s="1798"/>
      <c r="O236" s="2076">
        <v>34622.15</v>
      </c>
      <c r="P236" s="1282"/>
    </row>
    <row r="237" spans="2:16" s="999" customFormat="1" ht="15.75">
      <c r="B237" s="3295">
        <v>55058</v>
      </c>
      <c r="C237" s="1272"/>
      <c r="D237" s="1276" t="s">
        <v>1058</v>
      </c>
      <c r="E237" s="1274"/>
      <c r="F237" s="1274"/>
      <c r="G237" s="2076">
        <v>2619929.56</v>
      </c>
      <c r="H237" s="1798"/>
      <c r="I237" s="2076">
        <v>2896789.06</v>
      </c>
      <c r="J237" s="1798"/>
      <c r="K237" s="2076">
        <v>2775068.81</v>
      </c>
      <c r="L237" s="1798"/>
      <c r="M237" s="2076">
        <v>-185767.58000000007</v>
      </c>
      <c r="N237" s="1798"/>
      <c r="O237" s="2076">
        <v>2589301.23</v>
      </c>
      <c r="P237" s="1282"/>
    </row>
    <row r="238" spans="2:16" s="999" customFormat="1" ht="15.75">
      <c r="B238" s="3295">
        <v>55059</v>
      </c>
      <c r="C238" s="1272"/>
      <c r="D238" s="1276" t="s">
        <v>1059</v>
      </c>
      <c r="E238" s="1274"/>
      <c r="F238" s="1274"/>
      <c r="G238" s="2076">
        <v>9967721.4100000001</v>
      </c>
      <c r="H238" s="1798"/>
      <c r="I238" s="2076">
        <v>9696130.4299999997</v>
      </c>
      <c r="J238" s="1798"/>
      <c r="K238" s="2076">
        <v>10164097.91</v>
      </c>
      <c r="L238" s="1798"/>
      <c r="M238" s="2076">
        <v>341103.66999999993</v>
      </c>
      <c r="N238" s="1798"/>
      <c r="O238" s="2076">
        <v>10505201.58</v>
      </c>
      <c r="P238" s="1282"/>
    </row>
    <row r="239" spans="2:16" s="999" customFormat="1" ht="15.75">
      <c r="B239" s="3295">
        <v>55060</v>
      </c>
      <c r="C239" s="1272"/>
      <c r="D239" s="1273" t="s">
        <v>1060</v>
      </c>
      <c r="E239" s="1274"/>
      <c r="F239" s="1274"/>
      <c r="G239" s="2076">
        <v>3517020.19</v>
      </c>
      <c r="H239" s="1798"/>
      <c r="I239" s="2076">
        <v>4552894.71</v>
      </c>
      <c r="J239" s="1798"/>
      <c r="K239" s="2076">
        <v>3614793.63</v>
      </c>
      <c r="L239" s="1798"/>
      <c r="M239" s="2076">
        <v>-1770737.3199999998</v>
      </c>
      <c r="N239" s="1798"/>
      <c r="O239" s="2076">
        <v>1844056.31</v>
      </c>
      <c r="P239" s="1282"/>
    </row>
    <row r="240" spans="2:16" s="999" customFormat="1" ht="15.75">
      <c r="B240" s="3295">
        <v>55061</v>
      </c>
      <c r="C240" s="1272"/>
      <c r="D240" s="1273" t="s">
        <v>1061</v>
      </c>
      <c r="E240" s="1274"/>
      <c r="F240" s="1274"/>
      <c r="G240" s="2076">
        <v>10414432.369999999</v>
      </c>
      <c r="H240" s="1798"/>
      <c r="I240" s="2076">
        <v>9745199.0999999996</v>
      </c>
      <c r="J240" s="1798"/>
      <c r="K240" s="2076">
        <v>8980150.4700000007</v>
      </c>
      <c r="L240" s="1798"/>
      <c r="M240" s="2076">
        <v>908546.58000000007</v>
      </c>
      <c r="N240" s="1798"/>
      <c r="O240" s="2076">
        <v>9888697.0500000007</v>
      </c>
      <c r="P240" s="1282"/>
    </row>
    <row r="241" spans="2:16" s="999" customFormat="1" ht="15.75">
      <c r="B241" s="3295">
        <v>55062</v>
      </c>
      <c r="C241" s="1272"/>
      <c r="D241" s="1276" t="s">
        <v>1062</v>
      </c>
      <c r="E241" s="1274"/>
      <c r="F241" s="1274"/>
      <c r="G241" s="2076">
        <v>12330836.77</v>
      </c>
      <c r="H241" s="1798"/>
      <c r="I241" s="2076">
        <v>19972257.199999999</v>
      </c>
      <c r="J241" s="1798"/>
      <c r="K241" s="2076">
        <v>50956418.920000002</v>
      </c>
      <c r="L241" s="1798"/>
      <c r="M241" s="2076">
        <v>459720.14999999851</v>
      </c>
      <c r="N241" s="1798"/>
      <c r="O241" s="2076">
        <v>51416139.07</v>
      </c>
      <c r="P241" s="1282"/>
    </row>
    <row r="242" spans="2:16" s="999" customFormat="1" ht="15.75">
      <c r="B242" s="3295">
        <v>55063</v>
      </c>
      <c r="C242" s="1272"/>
      <c r="D242" s="1273" t="s">
        <v>1063</v>
      </c>
      <c r="E242" s="1274"/>
      <c r="F242" s="1274"/>
      <c r="G242" s="2076">
        <v>0</v>
      </c>
      <c r="H242" s="1798"/>
      <c r="I242" s="2076">
        <v>0</v>
      </c>
      <c r="J242" s="1798"/>
      <c r="K242" s="2076">
        <v>0</v>
      </c>
      <c r="L242" s="1798"/>
      <c r="M242" s="2076">
        <v>0</v>
      </c>
      <c r="N242" s="1798"/>
      <c r="O242" s="2076">
        <v>0</v>
      </c>
      <c r="P242" s="1282"/>
    </row>
    <row r="243" spans="2:16" s="999" customFormat="1" ht="15.75">
      <c r="B243" s="3295">
        <v>55066</v>
      </c>
      <c r="C243" s="1272"/>
      <c r="D243" s="1276" t="s">
        <v>1064</v>
      </c>
      <c r="E243" s="1274"/>
      <c r="F243" s="1274"/>
      <c r="G243" s="2076">
        <v>1518928.23</v>
      </c>
      <c r="H243" s="1798"/>
      <c r="I243" s="2076">
        <v>1718144.27</v>
      </c>
      <c r="J243" s="1798"/>
      <c r="K243" s="2076">
        <v>1688610.19</v>
      </c>
      <c r="L243" s="1798"/>
      <c r="M243" s="2076">
        <v>95508.89000000013</v>
      </c>
      <c r="N243" s="1798"/>
      <c r="O243" s="2076">
        <v>1784119.08</v>
      </c>
      <c r="P243" s="1282"/>
    </row>
    <row r="244" spans="2:16" s="999" customFormat="1" ht="15.75">
      <c r="B244" s="3295">
        <v>55067</v>
      </c>
      <c r="C244" s="1272"/>
      <c r="D244" s="1276" t="s">
        <v>1065</v>
      </c>
      <c r="E244" s="1274"/>
      <c r="F244" s="1274"/>
      <c r="G244" s="2076">
        <v>129244.62000000001</v>
      </c>
      <c r="H244" s="1798"/>
      <c r="I244" s="2076">
        <v>156608.4</v>
      </c>
      <c r="J244" s="1798"/>
      <c r="K244" s="2076">
        <v>179733.65</v>
      </c>
      <c r="L244" s="1798"/>
      <c r="M244" s="2076">
        <v>7234.6900000000023</v>
      </c>
      <c r="N244" s="1798"/>
      <c r="O244" s="2076">
        <v>186968.34</v>
      </c>
      <c r="P244" s="1282"/>
    </row>
    <row r="245" spans="2:16" s="999" customFormat="1" ht="15.75">
      <c r="B245" s="3295">
        <v>55069</v>
      </c>
      <c r="C245" s="1272"/>
      <c r="D245" s="1276" t="s">
        <v>1066</v>
      </c>
      <c r="E245" s="1274"/>
      <c r="F245" s="1274"/>
      <c r="G245" s="2076">
        <v>3670468.66</v>
      </c>
      <c r="H245" s="1798"/>
      <c r="I245" s="2076">
        <v>4267178.88</v>
      </c>
      <c r="J245" s="1798"/>
      <c r="K245" s="2076">
        <v>4002810.73</v>
      </c>
      <c r="L245" s="1798"/>
      <c r="M245" s="2076">
        <v>1256462.4099999997</v>
      </c>
      <c r="N245" s="1798"/>
      <c r="O245" s="2076">
        <v>5259273.1399999997</v>
      </c>
      <c r="P245" s="1282"/>
    </row>
    <row r="246" spans="2:16" s="999" customFormat="1" ht="15.75">
      <c r="B246" s="1264">
        <v>55071</v>
      </c>
      <c r="C246" s="1272"/>
      <c r="D246" s="1276" t="s">
        <v>1292</v>
      </c>
      <c r="E246" s="1274"/>
      <c r="F246" s="1274"/>
      <c r="G246" s="2076">
        <v>525981.69999999995</v>
      </c>
      <c r="H246" s="1798"/>
      <c r="I246" s="2076">
        <v>312774.92</v>
      </c>
      <c r="J246" s="1798"/>
      <c r="K246" s="2076">
        <v>388141.11</v>
      </c>
      <c r="L246" s="1798"/>
      <c r="M246" s="2076">
        <v>77158.38</v>
      </c>
      <c r="N246" s="1798"/>
      <c r="O246" s="2076">
        <v>465299.49</v>
      </c>
      <c r="P246" s="1282"/>
    </row>
    <row r="247" spans="2:16" s="999" customFormat="1" ht="15.75">
      <c r="B247" s="3295">
        <v>55072</v>
      </c>
      <c r="C247" s="1272"/>
      <c r="D247" s="1276" t="s">
        <v>1293</v>
      </c>
      <c r="E247" s="1274"/>
      <c r="F247" s="1274"/>
      <c r="G247" s="2076">
        <v>0</v>
      </c>
      <c r="H247" s="1798"/>
      <c r="I247" s="2076">
        <v>229051.14</v>
      </c>
      <c r="J247" s="1798"/>
      <c r="K247" s="2076">
        <v>263455.16000000003</v>
      </c>
      <c r="L247" s="1798"/>
      <c r="M247" s="2076">
        <v>226848.31999999995</v>
      </c>
      <c r="N247" s="1798"/>
      <c r="O247" s="2076">
        <v>490303.48</v>
      </c>
      <c r="P247" s="1282"/>
    </row>
    <row r="248" spans="2:16" s="999" customFormat="1" ht="15.75">
      <c r="B248" s="1264">
        <v>55073</v>
      </c>
      <c r="C248" s="1272"/>
      <c r="D248" s="1276" t="s">
        <v>1294</v>
      </c>
      <c r="E248" s="1274"/>
      <c r="F248" s="1274"/>
      <c r="G248" s="2076">
        <v>0</v>
      </c>
      <c r="H248" s="1798"/>
      <c r="I248" s="2076">
        <v>0</v>
      </c>
      <c r="J248" s="1798"/>
      <c r="K248" s="2076">
        <v>0</v>
      </c>
      <c r="L248" s="1798"/>
      <c r="M248" s="2076">
        <v>0</v>
      </c>
      <c r="N248" s="1798"/>
      <c r="O248" s="2076">
        <v>0</v>
      </c>
      <c r="P248" s="1282"/>
    </row>
    <row r="249" spans="2:16" s="999" customFormat="1" ht="15.75">
      <c r="B249" s="3295">
        <v>55201</v>
      </c>
      <c r="C249" s="1272"/>
      <c r="D249" s="1273" t="s">
        <v>1067</v>
      </c>
      <c r="E249" s="1274"/>
      <c r="F249" s="1274"/>
      <c r="G249" s="2076">
        <v>0</v>
      </c>
      <c r="H249" s="1798"/>
      <c r="I249" s="2076">
        <v>0</v>
      </c>
      <c r="J249" s="1798"/>
      <c r="K249" s="2076">
        <v>0</v>
      </c>
      <c r="L249" s="1798"/>
      <c r="M249" s="2076">
        <v>0</v>
      </c>
      <c r="N249" s="1798"/>
      <c r="O249" s="2076">
        <v>0</v>
      </c>
      <c r="P249" s="1282"/>
    </row>
    <row r="250" spans="2:16" s="999" customFormat="1" ht="15.75">
      <c r="B250" s="3295">
        <v>55251</v>
      </c>
      <c r="C250" s="1272"/>
      <c r="D250" s="1273" t="s">
        <v>1068</v>
      </c>
      <c r="E250" s="1274"/>
      <c r="F250" s="1274"/>
      <c r="G250" s="2076">
        <v>2097463.8199999998</v>
      </c>
      <c r="H250" s="1798"/>
      <c r="I250" s="2076">
        <v>2541115.11</v>
      </c>
      <c r="J250" s="1798"/>
      <c r="K250" s="2076">
        <v>2703991.2</v>
      </c>
      <c r="L250" s="1798"/>
      <c r="M250" s="2076">
        <v>162334.95999999996</v>
      </c>
      <c r="N250" s="1798"/>
      <c r="O250" s="2076">
        <v>2866326.16</v>
      </c>
      <c r="P250" s="1282"/>
    </row>
    <row r="251" spans="2:16" s="999" customFormat="1" ht="15.75">
      <c r="B251" s="3295">
        <v>55252</v>
      </c>
      <c r="C251" s="1272"/>
      <c r="D251" s="1276" t="s">
        <v>1069</v>
      </c>
      <c r="E251" s="1274"/>
      <c r="F251" s="1274"/>
      <c r="G251" s="2076">
        <v>659453.1</v>
      </c>
      <c r="H251" s="1798"/>
      <c r="I251" s="2076">
        <v>1747462.08</v>
      </c>
      <c r="J251" s="1798"/>
      <c r="K251" s="2076">
        <v>3003977.16</v>
      </c>
      <c r="L251" s="1798"/>
      <c r="M251" s="2076">
        <v>1014855.27</v>
      </c>
      <c r="N251" s="1798"/>
      <c r="O251" s="2076">
        <v>4018832.43</v>
      </c>
      <c r="P251" s="1282"/>
    </row>
    <row r="252" spans="2:16" s="999" customFormat="1" ht="15.75">
      <c r="B252" s="3295">
        <v>55300</v>
      </c>
      <c r="C252" s="1272"/>
      <c r="D252" s="1273" t="s">
        <v>1070</v>
      </c>
      <c r="E252" s="1274"/>
      <c r="F252" s="1274"/>
      <c r="G252" s="2076">
        <v>12976132.199999999</v>
      </c>
      <c r="H252" s="1798"/>
      <c r="I252" s="2076">
        <v>13495662.32</v>
      </c>
      <c r="J252" s="1798"/>
      <c r="K252" s="2076">
        <v>12838982.1</v>
      </c>
      <c r="L252" s="1798"/>
      <c r="M252" s="2076">
        <v>765077.96000000089</v>
      </c>
      <c r="N252" s="1798"/>
      <c r="O252" s="2076">
        <v>13604060.060000001</v>
      </c>
      <c r="P252" s="1282"/>
    </row>
    <row r="253" spans="2:16" s="999" customFormat="1" ht="15.75">
      <c r="B253" s="3295">
        <v>55301</v>
      </c>
      <c r="C253" s="1272"/>
      <c r="D253" s="1273" t="s">
        <v>1071</v>
      </c>
      <c r="E253" s="1274"/>
      <c r="F253" s="1274"/>
      <c r="G253" s="2076">
        <v>1733796.6800000002</v>
      </c>
      <c r="H253" s="1798"/>
      <c r="I253" s="2076">
        <v>1844905.82</v>
      </c>
      <c r="J253" s="1798"/>
      <c r="K253" s="2076">
        <v>1959506.42</v>
      </c>
      <c r="L253" s="1798"/>
      <c r="M253" s="2076">
        <v>331141.53000000026</v>
      </c>
      <c r="N253" s="1798"/>
      <c r="O253" s="2076">
        <v>2290647.9500000002</v>
      </c>
      <c r="P253" s="1282"/>
    </row>
    <row r="254" spans="2:16" s="999" customFormat="1" ht="15.75">
      <c r="B254" s="3295">
        <v>55350</v>
      </c>
      <c r="C254" s="1802"/>
      <c r="D254" s="1273" t="s">
        <v>1072</v>
      </c>
      <c r="E254" s="1351"/>
      <c r="F254" s="1351"/>
      <c r="G254" s="2076">
        <v>13853926.27</v>
      </c>
      <c r="H254" s="1798"/>
      <c r="I254" s="2076">
        <v>14770545.07</v>
      </c>
      <c r="J254" s="1798"/>
      <c r="K254" s="2076">
        <v>16895446.649999999</v>
      </c>
      <c r="L254" s="1798"/>
      <c r="M254" s="2076">
        <v>2623250.0400000028</v>
      </c>
      <c r="N254" s="1798"/>
      <c r="O254" s="2076">
        <v>19518696.690000001</v>
      </c>
      <c r="P254" s="1282"/>
    </row>
    <row r="255" spans="2:16" s="999" customFormat="1" ht="16.5" thickBot="1">
      <c r="B255" s="1826"/>
      <c r="C255" s="1349"/>
      <c r="D255" s="1263" t="s">
        <v>1073</v>
      </c>
      <c r="E255" s="1346"/>
      <c r="F255" s="1346"/>
      <c r="G255" s="2689">
        <f>ROUND(SUM(G210:G254),2)</f>
        <v>192673455.13</v>
      </c>
      <c r="H255" s="1855"/>
      <c r="I255" s="2689">
        <f>ROUND(SUM(I210:I254),2)</f>
        <v>206665287.31</v>
      </c>
      <c r="J255" s="1855"/>
      <c r="K255" s="2689">
        <f>ROUND(SUM(K210:K254),2)</f>
        <v>238755167.24000001</v>
      </c>
      <c r="L255" s="1855"/>
      <c r="M255" s="2689">
        <f>ROUND(SUM(M210:M254),2)</f>
        <v>17397835.25</v>
      </c>
      <c r="N255" s="1855"/>
      <c r="O255" s="2689">
        <f>ROUND(SUM(O210:O254),2)</f>
        <v>256153002.49000001</v>
      </c>
      <c r="P255" s="1282"/>
    </row>
    <row r="256" spans="2:16" s="999" customFormat="1" ht="16.5" thickTop="1">
      <c r="B256" s="1813"/>
      <c r="C256" s="1802"/>
      <c r="D256" s="1827"/>
      <c r="E256" s="1351"/>
      <c r="F256" s="1351"/>
      <c r="G256" s="2076"/>
      <c r="H256" s="1798"/>
      <c r="I256" s="2076"/>
      <c r="J256" s="1798"/>
      <c r="K256" s="2076"/>
      <c r="L256" s="1798"/>
      <c r="M256" s="2687"/>
      <c r="N256" s="1734"/>
      <c r="O256" s="2076"/>
      <c r="P256" s="1282"/>
    </row>
    <row r="257" spans="2:16" s="999" customFormat="1" ht="16.5" thickBot="1">
      <c r="B257" s="1813"/>
      <c r="C257" s="1802"/>
      <c r="D257" s="1827"/>
      <c r="E257" s="1351"/>
      <c r="F257" s="1351"/>
      <c r="G257" s="2076"/>
      <c r="H257" s="1798"/>
      <c r="I257" s="2076"/>
      <c r="J257" s="1798"/>
      <c r="K257" s="2076"/>
      <c r="L257" s="1798"/>
      <c r="M257" s="2687"/>
      <c r="N257" s="1734"/>
      <c r="O257" s="2076"/>
      <c r="P257" s="1282"/>
    </row>
    <row r="258" spans="2:16" s="999" customFormat="1" ht="16.5" thickBot="1">
      <c r="B258" s="1826"/>
      <c r="C258" s="1828"/>
      <c r="D258" s="1283" t="s">
        <v>1074</v>
      </c>
      <c r="E258" s="1346"/>
      <c r="F258" s="1829"/>
      <c r="G258" s="3301">
        <f>ROUND(SUM(G11+G97+G185+G198+G203+G207+G255),2)</f>
        <v>2959875500.4400001</v>
      </c>
      <c r="H258" s="3302"/>
      <c r="I258" s="3301">
        <f>ROUND(SUM(I11+I97+I185+I198+I203+I207+I255),2)</f>
        <v>3397504519.6799998</v>
      </c>
      <c r="J258" s="3302"/>
      <c r="K258" s="3301">
        <f>ROUND(SUM(K11+K97+K185+K198+K203+K207+K255),2)</f>
        <v>5280260493.9099998</v>
      </c>
      <c r="L258" s="3302"/>
      <c r="M258" s="3301">
        <f>ROUND(SUM(M11+M97+M185+M198+M203+M207+M255),2)</f>
        <v>-532023630.25</v>
      </c>
      <c r="N258" s="3302"/>
      <c r="O258" s="3301">
        <f>ROUND(SUM(O11+O97+O185+O198+O203+O207+O255),2)</f>
        <v>4748236863.6599998</v>
      </c>
      <c r="P258" s="1282"/>
    </row>
    <row r="259" spans="2:16" s="999" customFormat="1" ht="15.75">
      <c r="B259" s="1813"/>
      <c r="C259" s="1802"/>
      <c r="D259" s="1827"/>
      <c r="E259" s="1351"/>
      <c r="F259" s="1351"/>
      <c r="G259" s="2688"/>
      <c r="H259" s="1809"/>
      <c r="I259" s="2688"/>
      <c r="J259" s="1809"/>
      <c r="K259" s="2688"/>
      <c r="L259" s="1809"/>
      <c r="M259" s="2692"/>
      <c r="N259" s="1802"/>
      <c r="O259" s="2692"/>
      <c r="P259" s="1282"/>
    </row>
    <row r="260" spans="2:16" s="999" customFormat="1" ht="15.75">
      <c r="B260" s="1856" t="s">
        <v>1172</v>
      </c>
      <c r="C260" s="1363" t="s">
        <v>1295</v>
      </c>
      <c r="D260" s="1966"/>
      <c r="E260" s="1365"/>
      <c r="F260" s="1365"/>
      <c r="G260" s="2693"/>
      <c r="H260" s="1364"/>
      <c r="I260" s="2694"/>
      <c r="J260" s="1350"/>
      <c r="K260" s="2694"/>
      <c r="L260" s="1350"/>
      <c r="M260" s="2694"/>
      <c r="N260" s="1350"/>
      <c r="O260" s="2694"/>
      <c r="P260" s="1282"/>
    </row>
    <row r="261" spans="2:16" s="999" customFormat="1" ht="15.75">
      <c r="B261" s="1830"/>
      <c r="C261" s="1365" t="s">
        <v>1075</v>
      </c>
      <c r="D261" s="1967"/>
      <c r="E261" s="1365"/>
      <c r="F261" s="1365"/>
      <c r="G261" s="2693"/>
      <c r="H261" s="1364"/>
      <c r="I261" s="2694"/>
      <c r="J261" s="1350"/>
      <c r="K261" s="2694"/>
      <c r="L261" s="1350"/>
      <c r="M261" s="2694"/>
      <c r="N261" s="1350"/>
      <c r="O261" s="2694"/>
      <c r="P261" s="1282"/>
    </row>
    <row r="262" spans="2:16" s="999" customFormat="1" ht="15.75">
      <c r="B262" s="1830"/>
      <c r="C262" s="1365" t="s">
        <v>1076</v>
      </c>
      <c r="D262" s="1966"/>
      <c r="E262" s="1365"/>
      <c r="F262" s="1365"/>
      <c r="G262" s="2693"/>
      <c r="H262" s="1364"/>
      <c r="I262" s="2695"/>
      <c r="J262" s="1355"/>
      <c r="K262" s="2695"/>
      <c r="L262" s="1355"/>
      <c r="M262" s="2695"/>
      <c r="N262" s="1355"/>
      <c r="O262" s="2695"/>
      <c r="P262" s="1282"/>
    </row>
    <row r="263" spans="2:16" s="999" customFormat="1" ht="15.75">
      <c r="B263" s="1830"/>
      <c r="C263" s="1365" t="s">
        <v>1077</v>
      </c>
      <c r="D263" s="1966"/>
      <c r="E263" s="1365"/>
      <c r="F263" s="1365"/>
      <c r="G263" s="2693"/>
      <c r="H263" s="1364"/>
      <c r="I263" s="2695"/>
      <c r="J263" s="1355"/>
      <c r="K263" s="2695"/>
      <c r="L263" s="1355"/>
      <c r="M263" s="2695"/>
      <c r="N263" s="1355"/>
      <c r="O263" s="2695"/>
      <c r="P263" s="1282"/>
    </row>
    <row r="264" spans="2:16" s="999" customFormat="1" ht="15.75">
      <c r="B264" s="1830"/>
      <c r="C264" s="1365" t="s">
        <v>1078</v>
      </c>
      <c r="D264" s="1966"/>
      <c r="E264" s="1365"/>
      <c r="F264" s="1365"/>
      <c r="G264" s="2693"/>
      <c r="H264" s="1364"/>
      <c r="I264" s="2696"/>
      <c r="J264" s="1831"/>
      <c r="K264" s="2696"/>
      <c r="L264" s="1831"/>
      <c r="M264" s="2696"/>
      <c r="N264" s="1831"/>
      <c r="O264" s="2696"/>
      <c r="P264" s="1282"/>
    </row>
    <row r="265" spans="2:16" s="999" customFormat="1" ht="15.75">
      <c r="B265" s="1284"/>
      <c r="C265" s="1365" t="s">
        <v>1173</v>
      </c>
      <c r="D265" s="1966"/>
      <c r="E265" s="1365"/>
      <c r="F265" s="1365"/>
      <c r="G265" s="2693"/>
      <c r="H265" s="1364"/>
      <c r="I265" s="2696"/>
      <c r="J265" s="1831"/>
      <c r="K265" s="2696"/>
      <c r="L265" s="1831"/>
      <c r="M265" s="2696"/>
      <c r="N265" s="1831"/>
      <c r="O265" s="2696"/>
      <c r="P265" s="1356"/>
    </row>
    <row r="266" spans="2:16" s="999" customFormat="1" ht="15.75">
      <c r="B266" s="1284"/>
      <c r="C266" s="1364" t="s">
        <v>1174</v>
      </c>
      <c r="D266" s="1968"/>
      <c r="E266" s="1364"/>
      <c r="F266" s="1364"/>
      <c r="G266" s="2693"/>
      <c r="H266" s="1364"/>
      <c r="I266" s="2696"/>
      <c r="J266" s="1831"/>
      <c r="K266" s="2696"/>
      <c r="L266" s="1831"/>
      <c r="M266" s="2696"/>
      <c r="N266" s="1831"/>
      <c r="O266" s="2696"/>
      <c r="P266" s="1282"/>
    </row>
    <row r="267" spans="2:16" s="999" customFormat="1" ht="15.75">
      <c r="B267" s="1832" t="s">
        <v>119</v>
      </c>
      <c r="C267" s="1365" t="s">
        <v>1296</v>
      </c>
      <c r="D267" s="1969"/>
      <c r="E267" s="1365"/>
      <c r="F267" s="1365"/>
      <c r="G267" s="1833"/>
      <c r="H267" s="1833"/>
      <c r="I267" s="1834"/>
      <c r="J267" s="1835"/>
      <c r="K267" s="1833"/>
      <c r="L267" s="1836"/>
      <c r="M267" s="1837"/>
      <c r="N267" s="1838"/>
      <c r="O267" s="1833"/>
      <c r="P267" s="1347"/>
    </row>
    <row r="268" spans="2:16" s="999" customFormat="1" ht="15.75">
      <c r="B268" s="1367"/>
      <c r="C268" s="1842" t="s">
        <v>1079</v>
      </c>
      <c r="D268" s="1238"/>
      <c r="E268" s="1364"/>
      <c r="F268" s="1364"/>
      <c r="G268" s="1364"/>
      <c r="H268" s="1364"/>
      <c r="I268" s="1840"/>
      <c r="J268" s="1841"/>
      <c r="K268" s="1842"/>
      <c r="L268" s="1843"/>
      <c r="M268" s="1844"/>
      <c r="N268" s="1845"/>
      <c r="O268" s="1842"/>
      <c r="P268" s="1351"/>
    </row>
    <row r="269" spans="2:16" s="999" customFormat="1" ht="15.75">
      <c r="B269" s="1367"/>
      <c r="C269" s="1842" t="s">
        <v>1297</v>
      </c>
      <c r="D269" s="1238"/>
      <c r="E269" s="1364"/>
      <c r="F269" s="1364"/>
      <c r="G269" s="1364"/>
      <c r="H269" s="1364"/>
      <c r="I269" s="1840"/>
      <c r="J269" s="1841"/>
      <c r="K269" s="1842"/>
      <c r="L269" s="1843"/>
      <c r="M269" s="1844"/>
      <c r="N269" s="1845"/>
      <c r="O269" s="1842"/>
      <c r="P269" s="1348"/>
    </row>
    <row r="270" spans="2:16" s="999" customFormat="1" ht="15.75">
      <c r="B270" s="1832" t="s">
        <v>1171</v>
      </c>
      <c r="C270" s="1846" t="s">
        <v>1298</v>
      </c>
      <c r="D270" s="1969"/>
      <c r="E270" s="1847"/>
      <c r="F270" s="1848"/>
      <c r="G270" s="1833"/>
      <c r="H270" s="1849"/>
      <c r="I270" s="1834"/>
      <c r="J270" s="1850"/>
      <c r="K270" s="1833"/>
      <c r="L270" s="1849"/>
      <c r="M270" s="1837"/>
      <c r="N270" s="1851"/>
      <c r="O270" s="1833"/>
      <c r="P270" s="1347"/>
    </row>
    <row r="271" spans="2:16" s="999" customFormat="1" ht="15.75">
      <c r="B271" s="1852"/>
      <c r="C271" s="1842" t="s">
        <v>1579</v>
      </c>
      <c r="D271" s="1238"/>
      <c r="E271" s="1853"/>
      <c r="F271" s="1350"/>
      <c r="G271" s="1842"/>
      <c r="H271" s="1843"/>
      <c r="I271" s="1840"/>
      <c r="J271" s="1841"/>
      <c r="K271" s="1842"/>
      <c r="L271" s="1843"/>
      <c r="M271" s="1348"/>
      <c r="N271" s="1355"/>
      <c r="O271" s="1839"/>
      <c r="P271" s="1348"/>
    </row>
    <row r="272" spans="2:16" s="999" customFormat="1" ht="15.75">
      <c r="B272" s="1854" t="s">
        <v>1170</v>
      </c>
      <c r="C272" s="1284" t="s">
        <v>1328</v>
      </c>
      <c r="D272" s="1238"/>
      <c r="E272" s="1847"/>
      <c r="F272" s="1847"/>
      <c r="G272" s="1842"/>
      <c r="H272" s="1843"/>
      <c r="I272" s="1840"/>
      <c r="J272" s="1841"/>
      <c r="K272" s="1842"/>
      <c r="L272" s="1843"/>
      <c r="M272" s="1348"/>
      <c r="N272" s="1355"/>
      <c r="O272" s="1839"/>
      <c r="P272" s="1364"/>
    </row>
    <row r="273" spans="2:16" s="999" customFormat="1" ht="15.75">
      <c r="B273" s="1367"/>
      <c r="C273" s="1285"/>
      <c r="D273" s="1463"/>
      <c r="E273" s="1365"/>
      <c r="F273" s="1365"/>
      <c r="G273" s="1463"/>
      <c r="H273" s="1463"/>
      <c r="I273" s="1463"/>
      <c r="J273" s="1463"/>
      <c r="K273" s="1463"/>
      <c r="L273" s="1463"/>
      <c r="M273" s="1463"/>
      <c r="N273" s="1463"/>
      <c r="O273" s="1463"/>
      <c r="P273" s="1364"/>
    </row>
    <row r="274" spans="2:16" s="999" customFormat="1" ht="15.75">
      <c r="C274" s="1285"/>
      <c r="D274" s="1348"/>
      <c r="E274" s="1363"/>
      <c r="F274" s="1363"/>
      <c r="G274" s="1348"/>
      <c r="H274" s="1355"/>
      <c r="I274" s="1348"/>
      <c r="J274" s="1355"/>
      <c r="K274" s="1348"/>
      <c r="L274" s="1355"/>
      <c r="M274" s="1348"/>
      <c r="N274" s="1355"/>
      <c r="O274" s="1348"/>
      <c r="P274" s="1364"/>
    </row>
    <row r="275" spans="2:16" s="999" customFormat="1" ht="15.75">
      <c r="C275" s="1285"/>
      <c r="D275" s="1348"/>
      <c r="E275" s="1365"/>
      <c r="F275" s="1365"/>
      <c r="G275" s="1286"/>
      <c r="H275" s="1286"/>
      <c r="I275" s="1286"/>
      <c r="J275" s="1286"/>
      <c r="K275" s="1286"/>
      <c r="L275" s="1286"/>
      <c r="M275" s="1348"/>
      <c r="N275" s="1355"/>
      <c r="O275" s="1348"/>
      <c r="P275" s="1364"/>
    </row>
    <row r="276" spans="2:16" s="999" customFormat="1" ht="15.75">
      <c r="B276" s="1285"/>
      <c r="C276" s="1285"/>
      <c r="D276" s="1348"/>
      <c r="E276" s="1365"/>
      <c r="F276" s="1365"/>
      <c r="G276" s="1286"/>
      <c r="H276" s="1286"/>
      <c r="I276" s="1286"/>
      <c r="J276" s="1286"/>
      <c r="K276" s="1286"/>
      <c r="L276" s="1286"/>
      <c r="M276" s="1348"/>
      <c r="N276" s="1355"/>
      <c r="O276" s="1348"/>
      <c r="P276" s="1364"/>
    </row>
    <row r="277" spans="2:16" s="999" customFormat="1" ht="15.75">
      <c r="B277" s="1285"/>
      <c r="C277" s="1285"/>
      <c r="D277" s="1348"/>
      <c r="E277" s="1365"/>
      <c r="F277" s="1365"/>
      <c r="G277" s="1286"/>
      <c r="H277" s="1286"/>
      <c r="I277" s="1286"/>
      <c r="J277" s="1286"/>
      <c r="K277" s="1286"/>
      <c r="L277" s="1286"/>
      <c r="M277" s="1348"/>
      <c r="N277" s="1355"/>
      <c r="O277" s="1348"/>
      <c r="P277" s="1364"/>
    </row>
    <row r="278" spans="2:16" s="999" customFormat="1" ht="15.75">
      <c r="B278" s="1366"/>
      <c r="C278" s="1364"/>
      <c r="D278" s="1348"/>
      <c r="E278" s="1365"/>
      <c r="F278" s="1365"/>
      <c r="G278" s="1367"/>
      <c r="H278" s="1368"/>
      <c r="I278" s="1348"/>
      <c r="J278" s="1368"/>
      <c r="K278" s="1364"/>
      <c r="L278" s="1355"/>
      <c r="M278" s="1348"/>
      <c r="N278" s="1355"/>
      <c r="O278" s="1348"/>
      <c r="P278" s="1367"/>
    </row>
    <row r="279" spans="2:16" s="999" customFormat="1" ht="15.75">
      <c r="B279" s="1287"/>
      <c r="C279" s="1364"/>
      <c r="D279" s="1348"/>
      <c r="E279" s="1365"/>
      <c r="F279" s="1365"/>
      <c r="G279" s="1367"/>
      <c r="H279" s="1368"/>
      <c r="I279" s="1348"/>
      <c r="J279" s="1368"/>
      <c r="K279" s="1364"/>
      <c r="L279" s="1355"/>
      <c r="M279" s="1348"/>
      <c r="N279" s="1355"/>
      <c r="O279" s="1348"/>
      <c r="P279" s="1367"/>
    </row>
    <row r="280" spans="2:16" s="999" customFormat="1" ht="15.75">
      <c r="B280" s="1287"/>
      <c r="C280" s="1364"/>
      <c r="D280" s="1348"/>
      <c r="E280" s="1365"/>
      <c r="F280" s="1365"/>
      <c r="G280" s="1367"/>
      <c r="H280" s="1368"/>
      <c r="I280" s="1348"/>
      <c r="J280" s="1368"/>
      <c r="K280" s="1364"/>
      <c r="L280" s="1355"/>
      <c r="M280" s="1238"/>
      <c r="N280" s="1350"/>
      <c r="O280" s="1238"/>
      <c r="P280" s="1367"/>
    </row>
    <row r="281" spans="2:16" s="999" customFormat="1" ht="15.75">
      <c r="B281" s="1367"/>
      <c r="C281" s="1364"/>
      <c r="D281" s="1348"/>
      <c r="E281"/>
      <c r="F281" s="1368"/>
      <c r="G281" s="1367"/>
      <c r="H281" s="1368"/>
      <c r="I281" s="1348"/>
      <c r="J281" s="1368"/>
      <c r="K281" s="1364"/>
      <c r="L281" s="1350"/>
      <c r="M281" s="1238"/>
      <c r="N281" s="1350"/>
      <c r="O281" s="1238"/>
      <c r="P281" s="1367"/>
    </row>
    <row r="282" spans="2:16" s="999" customFormat="1" ht="15.75">
      <c r="B282" s="1367"/>
      <c r="C282" s="1364"/>
      <c r="D282" s="1348"/>
      <c r="E282"/>
      <c r="F282" s="1368"/>
      <c r="G282" s="1367"/>
      <c r="H282" s="1368"/>
      <c r="I282" s="1348"/>
      <c r="J282" s="1368"/>
      <c r="K282" s="1364"/>
      <c r="L282" s="1350"/>
      <c r="M282" s="1288"/>
      <c r="N282" s="1369"/>
      <c r="O282" s="1288"/>
      <c r="P282" s="1367"/>
    </row>
    <row r="283" spans="2:16" ht="15.75">
      <c r="B283" s="1367"/>
      <c r="C283" s="1364"/>
      <c r="D283" s="1348"/>
      <c r="E283"/>
      <c r="F283" s="1368"/>
      <c r="G283" s="1367"/>
      <c r="H283" s="1368"/>
      <c r="I283" s="1348"/>
      <c r="J283" s="1368"/>
      <c r="K283" s="1364"/>
      <c r="L283" s="1350"/>
      <c r="M283" s="1238"/>
      <c r="N283" s="1350"/>
      <c r="O283" s="1238"/>
      <c r="P283" s="1367"/>
    </row>
    <row r="289" spans="3:12" ht="15.75">
      <c r="C289" s="2682"/>
      <c r="D289" s="2075"/>
      <c r="E289" s="2682"/>
      <c r="F289" s="2683"/>
      <c r="G289" s="2698"/>
      <c r="H289" s="2699"/>
      <c r="I289" s="2698"/>
      <c r="J289" s="2699"/>
      <c r="K289" s="2698"/>
      <c r="L289" s="2699"/>
    </row>
    <row r="290" spans="3:12" ht="15.75">
      <c r="C290" s="2682"/>
      <c r="D290" s="2075"/>
      <c r="E290" s="2682"/>
      <c r="F290" s="2683"/>
      <c r="G290" s="2698"/>
      <c r="H290" s="2699"/>
      <c r="I290" s="2698"/>
      <c r="J290" s="2699"/>
      <c r="K290" s="2698"/>
      <c r="L290" s="2699"/>
    </row>
    <row r="291" spans="3:12" ht="15.75">
      <c r="C291" s="2682"/>
      <c r="D291" s="2075"/>
      <c r="E291" s="2682"/>
      <c r="F291" s="2683"/>
      <c r="G291" s="2698"/>
      <c r="H291" s="2699"/>
      <c r="I291" s="2698"/>
      <c r="J291" s="2699"/>
      <c r="K291" s="2698"/>
      <c r="L291" s="2699"/>
    </row>
    <row r="292" spans="3:12" ht="15.75">
      <c r="C292" s="2682"/>
      <c r="D292" s="2075"/>
      <c r="E292" s="2682"/>
      <c r="F292" s="2683"/>
      <c r="G292" s="2698"/>
      <c r="H292" s="2699"/>
      <c r="I292" s="2698"/>
      <c r="J292" s="2699"/>
      <c r="K292" s="2698"/>
      <c r="L292" s="2699"/>
    </row>
    <row r="293" spans="3:12" ht="15.75">
      <c r="C293" s="2682"/>
      <c r="D293" s="2075"/>
      <c r="E293" s="2682"/>
      <c r="F293" s="2683"/>
      <c r="G293" s="2698"/>
      <c r="H293" s="2699"/>
      <c r="I293" s="2698"/>
      <c r="J293" s="2699"/>
      <c r="K293" s="2698"/>
      <c r="L293" s="2699"/>
    </row>
  </sheetData>
  <customSheetViews>
    <customSheetView guid="{BD09DBC2-63A5-4D9C-9B00-4281066E9389}" scale="70" showPageBreaks="1" showGridLines="0" fitToPage="1" printArea="1">
      <selection activeCell="G97" sqref="G97"/>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alignWithMargins="0">
        <oddFooter>&amp;C&amp;8&amp;P</oddFooter>
      </headerFooter>
    </customSheetView>
    <customSheetView guid="{C82E0A7D-2B5B-48FC-A705-3168E651E04C}" scale="70" showPageBreaks="1" showGridLines="0" fitToPage="1" printArea="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2"/>
      <headerFooter scaleWithDoc="0" alignWithMargins="0">
        <oddFooter>&amp;C&amp;8&amp;P</oddFooter>
      </headerFooter>
    </customSheetView>
    <customSheetView guid="{A8B05C3B-0E7E-44A3-A097-AF4C5C09F04E}" scale="70" showPageBreaks="1" showGridLines="0" fitToPage="1" printArea="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3"/>
      <headerFooter scaleWithDoc="0" alignWithMargins="0">
        <oddFooter>&amp;C&amp;8&amp;P</oddFooter>
      </headerFooter>
    </customSheetView>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4"/>
      <headerFooter scaleWithDoc="0" alignWithMargins="0">
        <oddFooter>&amp;C&amp;8&amp;P</oddFooter>
      </headerFooter>
    </customSheetView>
    <customSheetView guid="{4735AAE3-27B4-4549-AAB4-50ACA997F5F5}" scale="70" showPageBreaks="1" showGridLines="0" fitToPage="1" printArea="1" topLeftCell="A242">
      <selection activeCell="D266" sqref="D266"/>
      <rowBreaks count="3" manualBreakCount="3">
        <brk id="83" max="16383" man="1"/>
        <brk id="154" max="16383" man="1"/>
        <brk id="218" max="16383" man="1"/>
      </rowBreaks>
      <pageMargins left="0.45" right="0.45" top="0.5" bottom="0.5" header="0.3" footer="0.25"/>
      <pageSetup scale="43" firstPageNumber="55" fitToHeight="4" orientation="landscape" useFirstPageNumber="1" r:id="rId5"/>
      <headerFooter scaleWithDoc="0" alignWithMargins="0">
        <oddFooter>&amp;C&amp;8&amp;P</oddFooter>
      </headerFooter>
    </customSheetView>
    <customSheetView guid="{80622567-647A-4891-B8EE-6B9E2C4DAC44}" scale="70" showPageBreaks="1" showGridLines="0" fitToPage="1" printArea="1">
      <selection activeCell="G97" sqref="G97"/>
      <rowBreaks count="3" manualBreakCount="3">
        <brk id="83" max="16383" man="1"/>
        <brk id="154" max="16383" man="1"/>
        <brk id="218" max="16383" man="1"/>
      </rowBreaks>
      <pageMargins left="0.45" right="0.45" top="0.5" bottom="0.5" header="0.3" footer="0.25"/>
      <pageSetup scale="43" firstPageNumber="55" fitToHeight="4" orientation="landscape" useFirstPageNumber="1" r:id="rId6"/>
      <headerFooter scaleWithDoc="0" alignWithMargins="0">
        <oddFooter>&amp;C&amp;8&amp;P</oddFooter>
      </headerFooter>
    </customSheetView>
    <customSheetView guid="{A97EE6C3-4DA8-41BD-BE43-F596EFCB43CA}" scale="70" showPageBreaks="1" showGridLines="0" fitToPage="1" printArea="1" topLeftCell="A55">
      <selection activeCell="O9" sqref="O9"/>
      <rowBreaks count="3" manualBreakCount="3">
        <brk id="83" max="16383" man="1"/>
        <brk id="154" max="16383" man="1"/>
        <brk id="218" max="16383" man="1"/>
      </rowBreaks>
      <pageMargins left="0.95" right="0.45" top="0.5" bottom="0.5" header="0.3" footer="0.25"/>
      <pageSetup scale="43" firstPageNumber="55" fitToHeight="4" orientation="landscape" useFirstPageNumber="1" r:id="rId7"/>
      <headerFooter scaleWithDoc="0" alignWithMargins="0">
        <oddFooter>&amp;C&amp;8&amp;P</oddFooter>
      </headerFooter>
    </customSheetView>
    <customSheetView guid="{90B76C5A-2FC4-40F0-8436-3E4F075A4887}" scale="70" showPageBreaks="1" showGridLines="0" fitToPage="1" printArea="1">
      <selection activeCell="G97" sqref="G97"/>
      <rowBreaks count="3" manualBreakCount="3">
        <brk id="83" max="16383" man="1"/>
        <brk id="154" max="16383" man="1"/>
        <brk id="218" max="16383" man="1"/>
      </rowBreaks>
      <pageMargins left="0.45" right="0.45" top="0.5" bottom="0.5" header="0.3" footer="0.25"/>
      <pageSetup scale="46" firstPageNumber="55" fitToHeight="4" orientation="landscape" useFirstPageNumber="1" r:id="rId8"/>
      <headerFooter scaleWithDoc="0" alignWithMargins="0">
        <oddFooter>&amp;C&amp;8&amp;P</oddFooter>
      </headerFooter>
    </customSheetView>
  </customSheetViews>
  <pageMargins left="0.45" right="0.45" top="0.5" bottom="0.5" header="0.3" footer="0.25"/>
  <pageSetup scale="43" firstPageNumber="55" fitToHeight="4" orientation="landscape" useFirstPageNumber="1" r:id="rId9"/>
  <headerFooter scaleWithDoc="0" alignWithMargins="0">
    <oddFooter>&amp;C&amp;8&amp;P</oddFooter>
  </headerFooter>
  <rowBreaks count="3" manualBreakCount="3">
    <brk id="83" max="16383" man="1"/>
    <brk id="154" max="16383" man="1"/>
    <brk id="218" max="16383" man="1"/>
  </rowBreaks>
  <ignoredErrors>
    <ignoredError sqref="G12:O13 H11 J11 L11 N11 G98:O99 H97 J97 L97 N97 G186:O187 H185 J185 L185 N185 G199:O200 H198 J198 L198 N198 G204:O205 G201:M201 N201:O201 G202:M202 N202:O202 H203 J203 L203 N203 G208:O209 G206:M206 N206:O206 H207 J207 L207 N207 G256:O257 H255 J255 L255 N255 H258 J258 L258 N258 M10" unlockedFormula="1"/>
  </ignoredErrors>
</worksheet>
</file>

<file path=xl/worksheets/sheet5.xml><?xml version="1.0" encoding="utf-8"?>
<worksheet xmlns="http://schemas.openxmlformats.org/spreadsheetml/2006/main" xmlns:r="http://schemas.openxmlformats.org/officeDocument/2006/relationships">
  <sheetPr codeName="Sheet9">
    <pageSetUpPr autoPageBreaks="0"/>
  </sheetPr>
  <dimension ref="A1:IT57"/>
  <sheetViews>
    <sheetView showGridLines="0" showOutlineSymbols="0" zoomScale="75" zoomScaleNormal="70" workbookViewId="0"/>
  </sheetViews>
  <sheetFormatPr defaultColWidth="8.88671875" defaultRowHeight="15"/>
  <cols>
    <col min="1" max="1" width="36.77734375" style="237" customWidth="1"/>
    <col min="2" max="2" width="13.77734375" style="237" customWidth="1"/>
    <col min="3" max="3" width="1.6640625" style="237" customWidth="1"/>
    <col min="4" max="4" width="13.77734375" style="237" customWidth="1"/>
    <col min="5" max="5" width="1.5546875" style="237" customWidth="1"/>
    <col min="6" max="6" width="13.77734375" style="237" customWidth="1"/>
    <col min="7" max="7" width="1.6640625" style="237" customWidth="1"/>
    <col min="8" max="8" width="13.77734375" style="237" customWidth="1"/>
    <col min="9" max="9" width="0.77734375" style="237" customWidth="1"/>
    <col min="10" max="10" width="12.77734375" style="237" customWidth="1"/>
    <col min="11" max="11" width="1.5546875" style="237" customWidth="1"/>
    <col min="12" max="12" width="13.77734375" style="237" customWidth="1"/>
    <col min="13" max="13" width="1" style="237" customWidth="1"/>
    <col min="14" max="14" width="13.44140625" style="237" customWidth="1"/>
    <col min="15" max="15" width="1.33203125" style="237" customWidth="1"/>
    <col min="16" max="16" width="13.33203125" style="237" customWidth="1"/>
    <col min="17" max="17" width="1.5546875" style="237" customWidth="1"/>
    <col min="18" max="18" width="1" style="309" customWidth="1"/>
    <col min="19" max="19" width="11.88671875" style="237" customWidth="1"/>
    <col min="20" max="20" width="0.77734375" style="309" customWidth="1"/>
    <col min="21" max="21" width="9.21875" style="237" customWidth="1"/>
    <col min="22" max="22" width="0.44140625" style="309" customWidth="1"/>
    <col min="23" max="16384" width="8.88671875" style="237"/>
  </cols>
  <sheetData>
    <row r="1" spans="1:254">
      <c r="A1" s="1227" t="s">
        <v>1322</v>
      </c>
    </row>
    <row r="2" spans="1:254">
      <c r="A2" s="1874"/>
    </row>
    <row r="3" spans="1:254" s="230" customFormat="1" ht="18" customHeight="1">
      <c r="A3" s="225" t="s">
        <v>0</v>
      </c>
      <c r="B3" s="225"/>
      <c r="C3" s="225"/>
      <c r="D3" s="225"/>
      <c r="E3" s="225"/>
      <c r="F3" s="226"/>
      <c r="G3" s="226"/>
      <c r="H3" s="225"/>
      <c r="I3" s="225"/>
      <c r="J3" s="225"/>
      <c r="K3" s="225"/>
      <c r="L3" s="225"/>
      <c r="M3" s="225"/>
      <c r="N3" s="811"/>
      <c r="O3" s="3349"/>
      <c r="P3" s="3349"/>
      <c r="Q3" s="2917"/>
      <c r="R3" s="2917"/>
      <c r="S3" s="227"/>
      <c r="T3" s="229"/>
      <c r="U3" s="3350" t="s">
        <v>65</v>
      </c>
      <c r="V3" s="3350"/>
      <c r="W3" s="228"/>
      <c r="X3" s="228"/>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26"/>
      <c r="GG3" s="226"/>
      <c r="GH3" s="226"/>
      <c r="GI3" s="226"/>
      <c r="GJ3" s="226"/>
      <c r="GK3" s="226"/>
      <c r="GL3" s="226"/>
      <c r="GM3" s="226"/>
      <c r="GN3" s="226"/>
      <c r="GO3" s="226"/>
      <c r="GP3" s="226"/>
      <c r="GQ3" s="226"/>
      <c r="GR3" s="226"/>
      <c r="GS3" s="226"/>
      <c r="GT3" s="226"/>
      <c r="GU3" s="226"/>
      <c r="GV3" s="226"/>
      <c r="GW3" s="226"/>
      <c r="GX3" s="226"/>
      <c r="GY3" s="226"/>
      <c r="GZ3" s="226"/>
      <c r="HA3" s="226"/>
      <c r="HB3" s="226"/>
      <c r="HC3" s="226"/>
      <c r="HD3" s="226"/>
      <c r="HE3" s="226"/>
      <c r="HF3" s="226"/>
      <c r="HG3" s="226"/>
      <c r="HH3" s="226"/>
      <c r="HI3" s="226"/>
      <c r="HJ3" s="226"/>
      <c r="HK3" s="226"/>
      <c r="HL3" s="226"/>
      <c r="HM3" s="226"/>
      <c r="HN3" s="226"/>
      <c r="HO3" s="226"/>
      <c r="HP3" s="226"/>
      <c r="HQ3" s="226"/>
      <c r="HR3" s="226"/>
      <c r="HS3" s="226"/>
      <c r="HT3" s="226"/>
      <c r="HU3" s="226"/>
      <c r="HV3" s="226"/>
      <c r="HW3" s="226"/>
      <c r="HX3" s="226"/>
      <c r="HY3" s="226"/>
      <c r="HZ3" s="226"/>
      <c r="IA3" s="226"/>
      <c r="IB3" s="226"/>
      <c r="IC3" s="226"/>
      <c r="ID3" s="226"/>
      <c r="IE3" s="226"/>
      <c r="IF3" s="226"/>
      <c r="IG3" s="226"/>
      <c r="IH3" s="226"/>
      <c r="II3" s="226"/>
      <c r="IJ3" s="226"/>
      <c r="IK3" s="226"/>
      <c r="IL3" s="226"/>
      <c r="IM3" s="226"/>
      <c r="IN3" s="226"/>
      <c r="IO3" s="226"/>
      <c r="IP3" s="226"/>
      <c r="IQ3" s="226"/>
      <c r="IR3" s="226"/>
      <c r="IS3" s="226"/>
      <c r="IT3" s="226"/>
    </row>
    <row r="4" spans="1:254" s="230" customFormat="1" ht="15.75">
      <c r="A4" s="225" t="s">
        <v>371</v>
      </c>
      <c r="B4" s="225"/>
      <c r="C4" s="225"/>
      <c r="D4" s="225"/>
      <c r="E4" s="225"/>
      <c r="F4" s="226"/>
      <c r="G4" s="226"/>
      <c r="H4" s="225"/>
      <c r="I4" s="225"/>
      <c r="J4" s="225"/>
      <c r="K4" s="225"/>
      <c r="L4" s="225"/>
      <c r="M4" s="225"/>
      <c r="N4" s="225"/>
      <c r="O4" s="225"/>
      <c r="P4" s="225"/>
      <c r="Q4" s="225"/>
      <c r="R4" s="483"/>
      <c r="S4" s="227"/>
      <c r="T4" s="229"/>
      <c r="U4" s="228"/>
      <c r="V4" s="229"/>
      <c r="W4" s="228"/>
      <c r="X4" s="228"/>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row>
    <row r="5" spans="1:254" s="230" customFormat="1" ht="15.75">
      <c r="A5" s="2918" t="s">
        <v>1203</v>
      </c>
      <c r="B5" s="225"/>
      <c r="C5" s="225"/>
      <c r="D5" s="225"/>
      <c r="E5" s="225"/>
      <c r="F5" s="226"/>
      <c r="G5" s="226"/>
      <c r="H5" s="225"/>
      <c r="I5" s="225"/>
      <c r="J5" s="225"/>
      <c r="K5" s="225"/>
      <c r="L5" s="225"/>
      <c r="M5" s="225"/>
      <c r="N5" s="225"/>
      <c r="O5" s="225"/>
      <c r="P5" s="225" t="s">
        <v>16</v>
      </c>
      <c r="Q5" s="225"/>
      <c r="R5" s="483"/>
      <c r="S5" s="227"/>
      <c r="T5" s="229"/>
      <c r="U5" s="228"/>
      <c r="V5" s="229"/>
      <c r="W5" s="228"/>
      <c r="X5" s="228"/>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row>
    <row r="6" spans="1:254" s="230" customFormat="1" ht="15.75">
      <c r="A6" s="225" t="s">
        <v>1198</v>
      </c>
      <c r="B6" s="225"/>
      <c r="C6" s="225"/>
      <c r="D6" s="225"/>
      <c r="E6" s="225"/>
      <c r="F6" s="226"/>
      <c r="G6" s="226"/>
      <c r="H6" s="225"/>
      <c r="I6" s="225"/>
      <c r="J6" s="225"/>
      <c r="K6" s="225"/>
      <c r="L6" s="225"/>
      <c r="M6" s="225"/>
      <c r="N6" s="225"/>
      <c r="O6" s="225"/>
      <c r="P6" s="225"/>
      <c r="Q6" s="225"/>
      <c r="R6" s="483"/>
      <c r="S6" s="227"/>
      <c r="T6" s="229"/>
      <c r="U6" s="228"/>
      <c r="V6" s="229"/>
      <c r="W6" s="228"/>
      <c r="X6" s="228"/>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c r="IT6" s="226"/>
    </row>
    <row r="7" spans="1:254" s="230" customFormat="1" ht="15.75">
      <c r="A7" s="231"/>
      <c r="B7" s="225"/>
      <c r="C7" s="225"/>
      <c r="D7" s="225"/>
      <c r="E7" s="225"/>
      <c r="F7" s="226"/>
      <c r="G7" s="226"/>
      <c r="H7" s="225"/>
      <c r="I7" s="225"/>
      <c r="J7" s="225"/>
      <c r="K7" s="225"/>
      <c r="L7" s="225"/>
      <c r="M7" s="225"/>
      <c r="N7" s="225"/>
      <c r="O7" s="225"/>
      <c r="P7" s="225"/>
      <c r="Q7" s="225"/>
      <c r="R7" s="483"/>
      <c r="S7" s="227"/>
      <c r="T7" s="229"/>
      <c r="U7" s="228"/>
      <c r="V7" s="229"/>
      <c r="W7" s="228"/>
      <c r="X7" s="228"/>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row>
    <row r="8" spans="1:254" s="230" customFormat="1" ht="15.75">
      <c r="B8" s="225"/>
      <c r="C8" s="225"/>
      <c r="D8" s="225"/>
      <c r="E8" s="225"/>
      <c r="F8" s="226"/>
      <c r="G8" s="226"/>
      <c r="H8" s="225"/>
      <c r="I8" s="225"/>
      <c r="J8" s="225"/>
      <c r="K8" s="225"/>
      <c r="L8" s="225"/>
      <c r="M8" s="225"/>
      <c r="N8" s="225"/>
      <c r="O8" s="225"/>
      <c r="P8" s="225"/>
      <c r="Q8" s="225"/>
      <c r="R8" s="483"/>
      <c r="S8" s="227"/>
      <c r="T8" s="229"/>
      <c r="U8" s="228"/>
      <c r="V8" s="229"/>
      <c r="W8" s="228"/>
      <c r="X8" s="228"/>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c r="BW8" s="226"/>
      <c r="BX8" s="226"/>
      <c r="BY8" s="226"/>
      <c r="BZ8" s="226"/>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G8" s="226"/>
      <c r="FH8" s="226"/>
      <c r="FI8" s="226"/>
      <c r="FJ8" s="226"/>
      <c r="FK8" s="226"/>
      <c r="FL8" s="226"/>
      <c r="FM8" s="226"/>
      <c r="FN8" s="226"/>
      <c r="FO8" s="226"/>
      <c r="FP8" s="226"/>
      <c r="FQ8" s="226"/>
      <c r="FR8" s="226"/>
      <c r="FS8" s="226"/>
      <c r="FT8" s="226"/>
      <c r="FU8" s="226"/>
      <c r="FV8" s="226"/>
      <c r="FW8" s="226"/>
      <c r="FX8" s="226"/>
      <c r="FY8" s="226"/>
      <c r="FZ8" s="226"/>
      <c r="GA8" s="226"/>
      <c r="GB8" s="226"/>
      <c r="GC8" s="226"/>
      <c r="GD8" s="226"/>
      <c r="GE8" s="226"/>
      <c r="GF8" s="226"/>
      <c r="GG8" s="226"/>
      <c r="GH8" s="226"/>
      <c r="GI8" s="226"/>
      <c r="GJ8" s="226"/>
      <c r="GK8" s="226"/>
      <c r="GL8" s="226"/>
      <c r="GM8" s="226"/>
      <c r="GN8" s="226"/>
      <c r="GO8" s="226"/>
      <c r="GP8" s="226"/>
      <c r="GQ8" s="226"/>
      <c r="GR8" s="226"/>
      <c r="GS8" s="226"/>
      <c r="GT8" s="226"/>
      <c r="GU8" s="226"/>
      <c r="GV8" s="226"/>
      <c r="GW8" s="226"/>
      <c r="GX8" s="226"/>
      <c r="GY8" s="226"/>
      <c r="GZ8" s="226"/>
      <c r="HA8" s="226"/>
      <c r="HB8" s="226"/>
      <c r="HC8" s="226"/>
      <c r="HD8" s="226"/>
      <c r="HE8" s="226"/>
      <c r="HF8" s="226"/>
      <c r="HG8" s="226"/>
      <c r="HH8" s="226"/>
      <c r="HI8" s="226"/>
      <c r="HJ8" s="226"/>
      <c r="HK8" s="226"/>
      <c r="HL8" s="226"/>
      <c r="HM8" s="226"/>
      <c r="HN8" s="226"/>
      <c r="HO8" s="226"/>
      <c r="HP8" s="226"/>
      <c r="HQ8" s="226"/>
      <c r="HR8" s="226"/>
      <c r="HS8" s="226"/>
      <c r="HT8" s="226"/>
      <c r="HU8" s="226"/>
      <c r="HV8" s="226"/>
      <c r="HW8" s="226"/>
      <c r="HX8" s="226"/>
      <c r="HY8" s="226"/>
      <c r="HZ8" s="226"/>
      <c r="IA8" s="226"/>
      <c r="IB8" s="226"/>
      <c r="IC8" s="226"/>
      <c r="ID8" s="226"/>
      <c r="IE8" s="226"/>
      <c r="IF8" s="226"/>
      <c r="IG8" s="226"/>
      <c r="IH8" s="226"/>
      <c r="II8" s="226"/>
      <c r="IJ8" s="226"/>
      <c r="IK8" s="226"/>
      <c r="IL8" s="226"/>
      <c r="IM8" s="226"/>
      <c r="IN8" s="226"/>
      <c r="IO8" s="226"/>
      <c r="IP8" s="226"/>
      <c r="IQ8" s="226"/>
      <c r="IR8" s="226"/>
      <c r="IS8" s="226"/>
      <c r="IT8" s="226"/>
    </row>
    <row r="9" spans="1:254" s="230" customFormat="1" ht="8.1" customHeight="1">
      <c r="A9" s="227"/>
      <c r="B9" s="225"/>
      <c r="C9" s="225"/>
      <c r="D9" s="225"/>
      <c r="E9" s="225"/>
      <c r="F9" s="225"/>
      <c r="G9" s="226"/>
      <c r="H9" s="225"/>
      <c r="I9" s="225"/>
      <c r="J9" s="225"/>
      <c r="K9" s="225"/>
      <c r="L9" s="225"/>
      <c r="M9" s="225"/>
      <c r="N9" s="225"/>
      <c r="O9" s="225"/>
      <c r="P9" s="225"/>
      <c r="Q9" s="225"/>
      <c r="R9" s="483"/>
      <c r="S9" s="227"/>
      <c r="T9" s="232"/>
      <c r="U9" s="227"/>
      <c r="V9" s="233"/>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c r="BW9" s="226"/>
      <c r="BX9" s="226"/>
      <c r="BY9" s="226"/>
      <c r="BZ9" s="226"/>
      <c r="CA9" s="226"/>
      <c r="CB9" s="226"/>
      <c r="CC9" s="226"/>
      <c r="CD9" s="226"/>
      <c r="CE9" s="226"/>
      <c r="CF9" s="226"/>
      <c r="CG9" s="226"/>
      <c r="CH9" s="226"/>
      <c r="CI9" s="226"/>
      <c r="CJ9" s="226"/>
      <c r="CK9" s="226"/>
      <c r="CL9" s="226"/>
      <c r="CM9" s="226"/>
      <c r="CN9" s="226"/>
      <c r="CO9" s="226"/>
      <c r="CP9" s="226"/>
      <c r="CQ9" s="226"/>
      <c r="CR9" s="226"/>
      <c r="CS9" s="226"/>
      <c r="CT9" s="226"/>
      <c r="CU9" s="226"/>
      <c r="CV9" s="226"/>
      <c r="CW9" s="226"/>
      <c r="CX9" s="226"/>
      <c r="CY9" s="226"/>
      <c r="CZ9" s="226"/>
      <c r="DA9" s="226"/>
      <c r="DB9" s="226"/>
      <c r="DC9" s="226"/>
      <c r="DD9" s="226"/>
      <c r="DE9" s="226"/>
      <c r="DF9" s="226"/>
      <c r="DG9" s="226"/>
      <c r="DH9" s="226"/>
      <c r="DI9" s="226"/>
      <c r="DJ9" s="226"/>
      <c r="DK9" s="226"/>
      <c r="DL9" s="226"/>
      <c r="DM9" s="226"/>
      <c r="DN9" s="226"/>
      <c r="DO9" s="226"/>
      <c r="DP9" s="226"/>
      <c r="DQ9" s="226"/>
      <c r="DR9" s="226"/>
      <c r="DS9" s="226"/>
      <c r="DT9" s="226"/>
      <c r="DU9" s="226"/>
      <c r="DV9" s="226"/>
      <c r="DW9" s="226"/>
      <c r="DX9" s="226"/>
      <c r="DY9" s="226"/>
      <c r="DZ9" s="226"/>
      <c r="EA9" s="226"/>
      <c r="EB9" s="226"/>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G9" s="226"/>
      <c r="FH9" s="226"/>
      <c r="FI9" s="226"/>
      <c r="FJ9" s="226"/>
      <c r="FK9" s="226"/>
      <c r="FL9" s="226"/>
      <c r="FM9" s="226"/>
      <c r="FN9" s="226"/>
      <c r="FO9" s="226"/>
      <c r="FP9" s="226"/>
      <c r="FQ9" s="226"/>
      <c r="FR9" s="226"/>
      <c r="FS9" s="226"/>
      <c r="FT9" s="226"/>
      <c r="FU9" s="226"/>
      <c r="FV9" s="226"/>
      <c r="FW9" s="226"/>
      <c r="FX9" s="226"/>
      <c r="FY9" s="226"/>
      <c r="FZ9" s="226"/>
      <c r="GA9" s="226"/>
      <c r="GB9" s="226"/>
      <c r="GC9" s="226"/>
      <c r="GD9" s="226"/>
      <c r="GE9" s="226"/>
      <c r="GF9" s="226"/>
      <c r="GG9" s="226"/>
      <c r="GH9" s="226"/>
      <c r="GI9" s="226"/>
      <c r="GJ9" s="226"/>
      <c r="GK9" s="226"/>
      <c r="GL9" s="226"/>
      <c r="GM9" s="226"/>
      <c r="GN9" s="226"/>
      <c r="GO9" s="226"/>
      <c r="GP9" s="226"/>
      <c r="GQ9" s="226"/>
      <c r="GR9" s="226"/>
      <c r="GS9" s="226"/>
      <c r="GT9" s="226"/>
      <c r="GU9" s="226"/>
      <c r="GV9" s="226"/>
      <c r="GW9" s="226"/>
      <c r="GX9" s="226"/>
      <c r="GY9" s="226"/>
      <c r="GZ9" s="226"/>
      <c r="HA9" s="226"/>
      <c r="HB9" s="226"/>
      <c r="HC9" s="226"/>
      <c r="HD9" s="226"/>
      <c r="HE9" s="226"/>
      <c r="HF9" s="226"/>
      <c r="HG9" s="226"/>
      <c r="HH9" s="226"/>
      <c r="HI9" s="226"/>
      <c r="HJ9" s="226"/>
      <c r="HK9" s="226"/>
      <c r="HL9" s="226"/>
      <c r="HM9" s="226"/>
      <c r="HN9" s="226"/>
      <c r="HO9" s="226"/>
      <c r="HP9" s="226"/>
      <c r="HQ9" s="226"/>
      <c r="HR9" s="226"/>
      <c r="HS9" s="226"/>
      <c r="HT9" s="226"/>
      <c r="HU9" s="226"/>
      <c r="HV9" s="226"/>
      <c r="HW9" s="226"/>
      <c r="HX9" s="226"/>
      <c r="HY9" s="226"/>
      <c r="HZ9" s="226"/>
      <c r="IA9" s="226"/>
      <c r="IB9" s="226"/>
      <c r="IC9" s="226"/>
      <c r="ID9" s="226"/>
      <c r="IE9" s="226"/>
      <c r="IF9" s="226"/>
      <c r="IG9" s="226"/>
      <c r="IH9" s="226"/>
      <c r="II9" s="226"/>
      <c r="IJ9" s="226"/>
      <c r="IK9" s="226"/>
      <c r="IL9" s="226"/>
      <c r="IM9" s="226"/>
      <c r="IN9" s="226"/>
      <c r="IO9" s="226"/>
      <c r="IP9" s="226"/>
      <c r="IQ9" s="226"/>
      <c r="IR9" s="226"/>
      <c r="IS9" s="226"/>
      <c r="IT9" s="226"/>
    </row>
    <row r="10" spans="1:254" s="230" customFormat="1" ht="15.75">
      <c r="A10" s="227"/>
      <c r="B10" s="225"/>
      <c r="C10" s="225"/>
      <c r="D10" s="225"/>
      <c r="E10" s="225"/>
      <c r="F10" s="225"/>
      <c r="G10" s="226"/>
      <c r="H10" s="225"/>
      <c r="I10" s="225"/>
      <c r="J10" s="225"/>
      <c r="K10" s="225"/>
      <c r="L10" s="225"/>
      <c r="M10" s="225"/>
      <c r="N10" s="225"/>
      <c r="O10" s="225"/>
      <c r="P10" s="225"/>
      <c r="Q10" s="225"/>
      <c r="R10" s="483"/>
      <c r="S10" s="227"/>
      <c r="T10" s="229"/>
      <c r="U10" s="228"/>
      <c r="V10" s="229"/>
      <c r="W10" s="228"/>
      <c r="X10" s="228"/>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G10" s="226"/>
      <c r="FH10" s="226"/>
      <c r="FI10" s="226"/>
      <c r="FJ10" s="226"/>
      <c r="FK10" s="226"/>
      <c r="FL10" s="226"/>
      <c r="FM10" s="226"/>
      <c r="FN10" s="226"/>
      <c r="FO10" s="226"/>
      <c r="FP10" s="226"/>
      <c r="FQ10" s="226"/>
      <c r="FR10" s="226"/>
      <c r="FS10" s="226"/>
      <c r="FT10" s="226"/>
      <c r="FU10" s="226"/>
      <c r="FV10" s="226"/>
      <c r="FW10" s="226"/>
      <c r="FX10" s="226"/>
      <c r="FY10" s="226"/>
      <c r="FZ10" s="226"/>
      <c r="GA10" s="226"/>
      <c r="GB10" s="226"/>
      <c r="GC10" s="226"/>
      <c r="GD10" s="226"/>
      <c r="GE10" s="226"/>
      <c r="GF10" s="226"/>
      <c r="GG10" s="226"/>
      <c r="GH10" s="226"/>
      <c r="GI10" s="226"/>
      <c r="GJ10" s="226"/>
      <c r="GK10" s="226"/>
      <c r="GL10" s="226"/>
      <c r="GM10" s="226"/>
      <c r="GN10" s="226"/>
      <c r="GO10" s="226"/>
      <c r="GP10" s="226"/>
      <c r="GQ10" s="226"/>
      <c r="GR10" s="226"/>
      <c r="GS10" s="226"/>
      <c r="GT10" s="226"/>
      <c r="GU10" s="226"/>
      <c r="GV10" s="226"/>
      <c r="GW10" s="226"/>
      <c r="GX10" s="226"/>
      <c r="GY10" s="226"/>
      <c r="GZ10" s="226"/>
      <c r="HA10" s="226"/>
      <c r="HB10" s="226"/>
      <c r="HC10" s="226"/>
      <c r="HD10" s="226"/>
      <c r="HE10" s="226"/>
      <c r="HF10" s="226"/>
      <c r="HG10" s="226"/>
      <c r="HH10" s="226"/>
      <c r="HI10" s="226"/>
      <c r="HJ10" s="226"/>
      <c r="HK10" s="226"/>
      <c r="HL10" s="226"/>
      <c r="HM10" s="226"/>
      <c r="HN10" s="226"/>
      <c r="HO10" s="226"/>
      <c r="HP10" s="226"/>
      <c r="HQ10" s="226"/>
      <c r="HR10" s="226"/>
      <c r="HS10" s="226"/>
      <c r="HT10" s="226"/>
      <c r="HU10" s="226"/>
      <c r="HV10" s="226"/>
      <c r="HW10" s="226"/>
      <c r="HX10" s="226"/>
      <c r="HY10" s="226"/>
      <c r="HZ10" s="226"/>
      <c r="IA10" s="226"/>
      <c r="IB10" s="226"/>
      <c r="IC10" s="226"/>
      <c r="ID10" s="226"/>
      <c r="IE10" s="226"/>
      <c r="IF10" s="226"/>
      <c r="IG10" s="226"/>
      <c r="IH10" s="226"/>
      <c r="II10" s="226"/>
      <c r="IJ10" s="226"/>
      <c r="IK10" s="226"/>
      <c r="IL10" s="226"/>
      <c r="IM10" s="226"/>
      <c r="IN10" s="226"/>
      <c r="IO10" s="226"/>
      <c r="IP10" s="226"/>
      <c r="IQ10" s="226"/>
      <c r="IR10" s="226"/>
      <c r="IS10" s="226"/>
      <c r="IT10" s="226"/>
    </row>
    <row r="11" spans="1:254" s="230" customFormat="1" ht="15.75">
      <c r="A11" s="227"/>
      <c r="B11" s="225"/>
      <c r="C11" s="225"/>
      <c r="D11" s="225"/>
      <c r="E11" s="225"/>
      <c r="F11" s="225"/>
      <c r="G11" s="226"/>
      <c r="H11" s="225"/>
      <c r="I11" s="225"/>
      <c r="K11" s="1613"/>
      <c r="L11" s="2934"/>
      <c r="M11" s="419"/>
      <c r="N11" s="1613"/>
      <c r="O11" s="1613"/>
      <c r="P11" s="1613"/>
      <c r="Q11" s="1613"/>
      <c r="R11" s="1641"/>
      <c r="S11" s="227"/>
      <c r="T11" s="229"/>
      <c r="U11" s="228"/>
      <c r="V11" s="229"/>
      <c r="W11" s="228"/>
      <c r="X11" s="228"/>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G11" s="226"/>
      <c r="FH11" s="226"/>
      <c r="FI11" s="226"/>
      <c r="FJ11" s="226"/>
      <c r="FK11" s="226"/>
      <c r="FL11" s="226"/>
      <c r="FM11" s="226"/>
      <c r="FN11" s="226"/>
      <c r="FO11" s="226"/>
      <c r="FP11" s="226"/>
      <c r="FQ11" s="226"/>
      <c r="FR11" s="226"/>
      <c r="FS11" s="226"/>
      <c r="FT11" s="226"/>
      <c r="FU11" s="226"/>
      <c r="FV11" s="226"/>
      <c r="FW11" s="226"/>
      <c r="FX11" s="226"/>
      <c r="FY11" s="226"/>
      <c r="FZ11" s="226"/>
      <c r="GA11" s="226"/>
      <c r="GB11" s="226"/>
      <c r="GC11" s="226"/>
      <c r="GD11" s="226"/>
      <c r="GE11" s="226"/>
      <c r="GF11" s="226"/>
      <c r="GG11" s="226"/>
      <c r="GH11" s="226"/>
      <c r="GI11" s="226"/>
      <c r="GJ11" s="226"/>
      <c r="GK11" s="226"/>
      <c r="GL11" s="226"/>
      <c r="GM11" s="226"/>
      <c r="GN11" s="226"/>
      <c r="GO11" s="226"/>
      <c r="GP11" s="226"/>
      <c r="GQ11" s="226"/>
      <c r="GR11" s="226"/>
      <c r="GS11" s="226"/>
      <c r="GT11" s="226"/>
      <c r="GU11" s="226"/>
      <c r="GV11" s="226"/>
      <c r="GW11" s="226"/>
      <c r="GX11" s="226"/>
      <c r="GY11" s="226"/>
      <c r="GZ11" s="226"/>
      <c r="HA11" s="226"/>
      <c r="HB11" s="226"/>
      <c r="HC11" s="226"/>
      <c r="HD11" s="226"/>
      <c r="HE11" s="226"/>
      <c r="HF11" s="226"/>
      <c r="HG11" s="226"/>
      <c r="HH11" s="226"/>
      <c r="HI11" s="226"/>
      <c r="HJ11" s="226"/>
      <c r="HK11" s="226"/>
      <c r="HL11" s="226"/>
      <c r="HM11" s="226"/>
      <c r="HN11" s="226"/>
      <c r="HO11" s="226"/>
      <c r="HP11" s="226"/>
      <c r="HQ11" s="226"/>
      <c r="HR11" s="226"/>
      <c r="HS11" s="226"/>
      <c r="HT11" s="226"/>
      <c r="HU11" s="226"/>
      <c r="HV11" s="226"/>
      <c r="HW11" s="226"/>
      <c r="HX11" s="226"/>
      <c r="HY11" s="226"/>
      <c r="HZ11" s="226"/>
      <c r="IA11" s="226"/>
      <c r="IB11" s="226"/>
      <c r="IC11" s="226"/>
      <c r="ID11" s="226"/>
      <c r="IE11" s="226"/>
      <c r="IF11" s="226"/>
      <c r="IG11" s="226"/>
      <c r="IH11" s="226"/>
      <c r="II11" s="226"/>
      <c r="IJ11" s="226"/>
      <c r="IK11" s="226"/>
      <c r="IL11" s="226"/>
      <c r="IM11" s="226"/>
      <c r="IN11" s="226"/>
      <c r="IO11" s="226"/>
      <c r="IP11" s="226"/>
      <c r="IQ11" s="226"/>
      <c r="IR11" s="226"/>
      <c r="IS11" s="226"/>
      <c r="IT11" s="226"/>
    </row>
    <row r="12" spans="1:254" ht="15.95" customHeight="1">
      <c r="A12" s="227"/>
      <c r="B12" s="1613"/>
      <c r="C12" s="1613" t="s">
        <v>66</v>
      </c>
      <c r="D12" s="1613"/>
      <c r="E12" s="225"/>
      <c r="F12" s="1613"/>
      <c r="G12" s="1613" t="s">
        <v>67</v>
      </c>
      <c r="H12" s="1613"/>
      <c r="I12" s="225"/>
      <c r="J12" s="1613"/>
      <c r="K12" s="1613"/>
      <c r="L12" s="2934"/>
      <c r="M12" s="1613" t="s">
        <v>68</v>
      </c>
      <c r="N12" s="1613"/>
      <c r="O12" s="1613"/>
      <c r="P12" s="1613"/>
      <c r="Q12" s="1613"/>
      <c r="R12" s="1641"/>
      <c r="S12" s="2234" t="s">
        <v>1489</v>
      </c>
      <c r="T12" s="2232"/>
      <c r="U12" s="2233"/>
      <c r="V12" s="235"/>
      <c r="W12" s="236"/>
      <c r="X12" s="236"/>
    </row>
    <row r="13" spans="1:254" ht="12.95" customHeight="1">
      <c r="A13" s="227"/>
      <c r="B13" s="238"/>
      <c r="C13" s="238"/>
      <c r="D13" s="238"/>
      <c r="E13" s="227"/>
      <c r="F13" s="238"/>
      <c r="G13" s="239"/>
      <c r="H13" s="238"/>
      <c r="I13" s="227"/>
      <c r="J13" s="238"/>
      <c r="K13" s="238"/>
      <c r="L13" s="238"/>
      <c r="M13" s="238"/>
      <c r="N13" s="238"/>
      <c r="O13" s="238"/>
      <c r="P13" s="238"/>
      <c r="Q13" s="232"/>
      <c r="R13" s="2261"/>
      <c r="S13" s="234"/>
      <c r="T13" s="240"/>
      <c r="U13" s="236"/>
      <c r="V13" s="240"/>
      <c r="W13" s="236"/>
      <c r="X13" s="236"/>
    </row>
    <row r="14" spans="1:254" ht="15.95" customHeight="1">
      <c r="A14" s="227"/>
      <c r="B14" s="1613" t="s">
        <v>7</v>
      </c>
      <c r="C14" s="225"/>
      <c r="D14" s="1613" t="s">
        <v>1637</v>
      </c>
      <c r="E14" s="225"/>
      <c r="F14" s="1613" t="s">
        <v>7</v>
      </c>
      <c r="G14" s="417"/>
      <c r="H14" s="1613" t="str">
        <f>D14</f>
        <v>7 MOS. ENDED</v>
      </c>
      <c r="I14" s="225"/>
      <c r="J14" s="1613" t="s">
        <v>7</v>
      </c>
      <c r="K14" s="225"/>
      <c r="L14" s="1613" t="str">
        <f>D14</f>
        <v>7 MOS. ENDED</v>
      </c>
      <c r="M14" s="225"/>
      <c r="N14" s="1613" t="s">
        <v>7</v>
      </c>
      <c r="O14" s="225"/>
      <c r="P14" s="1613" t="str">
        <f>H14</f>
        <v>7 MOS. ENDED</v>
      </c>
      <c r="Q14" s="1613"/>
      <c r="R14" s="2264"/>
      <c r="S14" s="1631" t="s">
        <v>8</v>
      </c>
      <c r="T14" s="418"/>
      <c r="U14" s="1632" t="s">
        <v>9</v>
      </c>
      <c r="V14" s="240"/>
      <c r="W14" s="236"/>
      <c r="X14" s="236"/>
    </row>
    <row r="15" spans="1:254" ht="15.95" customHeight="1">
      <c r="A15" s="227"/>
      <c r="B15" s="1614" t="s">
        <v>1633</v>
      </c>
      <c r="C15" s="225"/>
      <c r="D15" s="1615" t="s">
        <v>1634</v>
      </c>
      <c r="E15" s="225"/>
      <c r="F15" s="1613" t="str">
        <f>B15</f>
        <v>OCT. 2014</v>
      </c>
      <c r="G15" s="225"/>
      <c r="H15" s="1613" t="str">
        <f>D15</f>
        <v>OCT. 31, 2014</v>
      </c>
      <c r="I15" s="225"/>
      <c r="J15" s="1613" t="str">
        <f>B15</f>
        <v>OCT. 2014</v>
      </c>
      <c r="K15" s="225"/>
      <c r="L15" s="1613" t="str">
        <f>D15</f>
        <v>OCT. 31, 2014</v>
      </c>
      <c r="M15" s="225"/>
      <c r="N15" s="3307" t="s">
        <v>1635</v>
      </c>
      <c r="O15" s="225"/>
      <c r="P15" s="3307" t="s">
        <v>1636</v>
      </c>
      <c r="Q15" s="1612"/>
      <c r="R15" s="2265"/>
      <c r="S15" s="1637" t="s">
        <v>13</v>
      </c>
      <c r="T15" s="417"/>
      <c r="U15" s="1638" t="s">
        <v>14</v>
      </c>
      <c r="V15" s="240"/>
      <c r="W15" s="236"/>
      <c r="X15" s="236"/>
    </row>
    <row r="16" spans="1:254" ht="12.95" customHeight="1">
      <c r="A16" s="227"/>
      <c r="B16" s="238"/>
      <c r="C16" s="227"/>
      <c r="D16" s="238" t="s">
        <v>16</v>
      </c>
      <c r="E16" s="227"/>
      <c r="F16" s="238"/>
      <c r="G16" s="227"/>
      <c r="H16" s="239" t="s">
        <v>16</v>
      </c>
      <c r="I16" s="241"/>
      <c r="J16" s="242"/>
      <c r="K16" s="227"/>
      <c r="L16" s="238"/>
      <c r="M16" s="241"/>
      <c r="N16" s="232"/>
      <c r="O16" s="227"/>
      <c r="P16" s="232"/>
      <c r="Q16" s="232"/>
      <c r="R16" s="2261"/>
      <c r="S16" s="234"/>
      <c r="T16" s="232"/>
      <c r="U16" s="236"/>
      <c r="V16" s="232"/>
      <c r="W16" s="236"/>
      <c r="X16" s="236"/>
    </row>
    <row r="17" spans="1:247" ht="15.95" customHeight="1">
      <c r="A17" s="225" t="s">
        <v>15</v>
      </c>
      <c r="B17" s="243"/>
      <c r="C17" s="243"/>
      <c r="D17" s="243"/>
      <c r="E17" s="243"/>
      <c r="F17" s="243"/>
      <c r="G17" s="243"/>
      <c r="H17" s="243"/>
      <c r="I17" s="244"/>
      <c r="J17" s="244"/>
      <c r="K17" s="243"/>
      <c r="L17" s="243"/>
      <c r="M17" s="244"/>
      <c r="N17" s="245"/>
      <c r="O17" s="243"/>
      <c r="P17" s="245"/>
      <c r="Q17" s="245"/>
      <c r="R17" s="2266"/>
      <c r="S17" s="234"/>
      <c r="T17" s="245"/>
      <c r="U17" s="236"/>
      <c r="V17" s="245"/>
      <c r="W17" s="236"/>
      <c r="X17" s="236"/>
    </row>
    <row r="18" spans="1:247" ht="15.95" customHeight="1">
      <c r="A18" s="227" t="s">
        <v>21</v>
      </c>
      <c r="B18" s="1295">
        <f>'Exhibit J'!O19</f>
        <v>7.3</v>
      </c>
      <c r="C18" s="1295"/>
      <c r="D18" s="2244">
        <f>+'Exhibit J'!AB19</f>
        <v>82.2</v>
      </c>
      <c r="E18" s="1295"/>
      <c r="F18" s="2244">
        <f>'Exhibit K'!N17</f>
        <v>31</v>
      </c>
      <c r="G18" s="1295"/>
      <c r="H18" s="2244">
        <f>+'Exhibit K'!AA17</f>
        <v>250.8</v>
      </c>
      <c r="I18" s="2680"/>
      <c r="J18" s="2680">
        <f>ROUND(SUM(B18)+SUM(F18),1)</f>
        <v>38.299999999999997</v>
      </c>
      <c r="K18" s="1295"/>
      <c r="L18" s="3117">
        <f>ROUND(SUM(D18)+SUM(H18),1)</f>
        <v>333</v>
      </c>
      <c r="M18" s="2680"/>
      <c r="N18" s="2244">
        <v>67.2</v>
      </c>
      <c r="O18" s="2244"/>
      <c r="P18" s="2244">
        <v>369.9</v>
      </c>
      <c r="Q18" s="2244"/>
      <c r="R18" s="3118"/>
      <c r="S18" s="1295">
        <f>ROUND(SUM(L18-P18),1)</f>
        <v>-36.9</v>
      </c>
      <c r="T18" s="2653"/>
      <c r="U18" s="3240">
        <f>ROUND(+S18/P18,3)</f>
        <v>-0.1</v>
      </c>
      <c r="V18" s="249"/>
      <c r="W18" s="250"/>
      <c r="X18" s="250"/>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row>
    <row r="19" spans="1:247" ht="15.95" customHeight="1">
      <c r="A19" s="1863" t="s">
        <v>69</v>
      </c>
      <c r="B19" s="1214">
        <f>'Exhibit J'!O20</f>
        <v>3.3</v>
      </c>
      <c r="C19" s="1214"/>
      <c r="D19" s="2176">
        <f>+'Exhibit J'!AB20</f>
        <v>29.6</v>
      </c>
      <c r="E19" s="1214"/>
      <c r="F19" s="1296">
        <v>0</v>
      </c>
      <c r="G19" s="1214"/>
      <c r="H19" s="1296">
        <v>0</v>
      </c>
      <c r="I19" s="3120"/>
      <c r="J19" s="3121">
        <f>ROUND(SUM(B19)+SUM(F19),1)</f>
        <v>3.3</v>
      </c>
      <c r="K19" s="1312"/>
      <c r="L19" s="2176">
        <f>ROUND(SUM(D19)+SUM(H19),1)</f>
        <v>29.6</v>
      </c>
      <c r="M19" s="3122"/>
      <c r="N19" s="2176">
        <v>164.1</v>
      </c>
      <c r="O19" s="2176"/>
      <c r="P19" s="2176">
        <v>1117.3</v>
      </c>
      <c r="Q19" s="2176"/>
      <c r="R19" s="3123"/>
      <c r="S19" s="1214">
        <f>ROUND(SUM(L19-P19),1)</f>
        <v>-1087.7</v>
      </c>
      <c r="T19" s="3124"/>
      <c r="U19" s="3240">
        <f>ROUND(+S19/P19,3)</f>
        <v>-0.97399999999999998</v>
      </c>
      <c r="V19" s="257"/>
      <c r="W19" s="250"/>
      <c r="X19" s="250"/>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row>
    <row r="20" spans="1:247" ht="15.95" customHeight="1">
      <c r="A20" s="227" t="s">
        <v>70</v>
      </c>
      <c r="B20" s="1214">
        <f>'Exhibit J'!O21</f>
        <v>181.8</v>
      </c>
      <c r="C20" s="1214"/>
      <c r="D20" s="2176">
        <f>+'Exhibit J'!AB21</f>
        <v>1361.2</v>
      </c>
      <c r="E20" s="1214"/>
      <c r="F20" s="1296">
        <v>0</v>
      </c>
      <c r="G20" s="1214"/>
      <c r="H20" s="1296">
        <v>0</v>
      </c>
      <c r="I20" s="3120"/>
      <c r="J20" s="3125">
        <f>ROUND(SUM(B20+F20),1)</f>
        <v>181.8</v>
      </c>
      <c r="K20" s="1312"/>
      <c r="L20" s="2176">
        <f>ROUND(SUM(D20)+SUM(H20),1)</f>
        <v>1361.2</v>
      </c>
      <c r="M20" s="3122"/>
      <c r="N20" s="2176">
        <v>237.4</v>
      </c>
      <c r="O20" s="2641"/>
      <c r="P20" s="2176">
        <v>1703.7</v>
      </c>
      <c r="Q20" s="2176"/>
      <c r="R20" s="3123"/>
      <c r="S20" s="1214">
        <f>ROUND(SUM(L20-P20),1)</f>
        <v>-342.5</v>
      </c>
      <c r="T20" s="3124"/>
      <c r="U20" s="3240">
        <f>ROUND(+S20/P20,3)</f>
        <v>-0.20100000000000001</v>
      </c>
      <c r="V20" s="257"/>
      <c r="W20" s="250"/>
      <c r="X20" s="250"/>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row>
    <row r="21" spans="1:247" ht="15.75">
      <c r="A21" s="225" t="s">
        <v>23</v>
      </c>
      <c r="B21" s="260">
        <f>ROUND(SUM(B18:B20),1)</f>
        <v>192.4</v>
      </c>
      <c r="C21" s="2154"/>
      <c r="D21" s="260">
        <f>ROUND(SUM(D18:D20),1)</f>
        <v>1473</v>
      </c>
      <c r="E21" s="2154"/>
      <c r="F21" s="260">
        <f>ROUND(SUM(F18:F20),1)</f>
        <v>31</v>
      </c>
      <c r="G21" s="2154"/>
      <c r="H21" s="260">
        <f>ROUND(SUM(H18:H20),1)</f>
        <v>250.8</v>
      </c>
      <c r="I21" s="262"/>
      <c r="J21" s="260">
        <f>SUM(J18:J20)</f>
        <v>223.4</v>
      </c>
      <c r="K21" s="2154"/>
      <c r="L21" s="260">
        <f>SUM(L18:L20)</f>
        <v>1723.8000000000002</v>
      </c>
      <c r="M21" s="263"/>
      <c r="N21" s="260">
        <f>ROUND(SUM(N18:N20),1)</f>
        <v>468.7</v>
      </c>
      <c r="O21" s="2154"/>
      <c r="P21" s="260">
        <f>ROUND(SUM(P18:P20),1)</f>
        <v>3190.9</v>
      </c>
      <c r="Q21" s="277"/>
      <c r="R21" s="673"/>
      <c r="S21" s="260">
        <f>ROUND(SUM(S18:S20),1)</f>
        <v>-1467.1</v>
      </c>
      <c r="T21" s="1310"/>
      <c r="U21" s="3241">
        <f>ROUND(+S21/P21,3)</f>
        <v>-0.46</v>
      </c>
      <c r="V21" s="257"/>
      <c r="W21" s="236"/>
      <c r="X21" s="236"/>
    </row>
    <row r="22" spans="1:247" ht="15.75">
      <c r="A22" s="225"/>
      <c r="B22" s="1214"/>
      <c r="C22" s="1214"/>
      <c r="D22" s="1214"/>
      <c r="E22" s="1214"/>
      <c r="F22" s="1214"/>
      <c r="G22" s="1214"/>
      <c r="H22" s="1214"/>
      <c r="I22" s="3121"/>
      <c r="J22" s="3121"/>
      <c r="K22" s="1214"/>
      <c r="L22" s="1214"/>
      <c r="M22" s="3121"/>
      <c r="N22" s="2176"/>
      <c r="O22" s="1214"/>
      <c r="P22" s="2176"/>
      <c r="Q22" s="2176"/>
      <c r="R22" s="3123"/>
      <c r="S22" s="2150"/>
      <c r="T22" s="3126"/>
      <c r="U22" s="3242"/>
      <c r="V22" s="245"/>
      <c r="W22" s="236"/>
      <c r="X22" s="236"/>
    </row>
    <row r="23" spans="1:247" ht="15.95" customHeight="1">
      <c r="A23" s="225" t="s">
        <v>24</v>
      </c>
      <c r="B23" s="1214"/>
      <c r="C23" s="1214"/>
      <c r="D23" s="1214"/>
      <c r="E23" s="1214"/>
      <c r="F23" s="1214"/>
      <c r="G23" s="1214"/>
      <c r="H23" s="1214"/>
      <c r="I23" s="3121"/>
      <c r="J23" s="3121"/>
      <c r="K23" s="1214"/>
      <c r="L23" s="1214"/>
      <c r="M23" s="3121"/>
      <c r="N23" s="2176"/>
      <c r="O23" s="1214"/>
      <c r="P23" s="2176"/>
      <c r="Q23" s="2176"/>
      <c r="R23" s="3123"/>
      <c r="S23" s="2150"/>
      <c r="T23" s="3126"/>
      <c r="U23" s="3242"/>
      <c r="V23" s="245"/>
      <c r="W23" s="236"/>
      <c r="X23" s="236"/>
    </row>
    <row r="24" spans="1:247" ht="15.95" customHeight="1">
      <c r="A24" s="227" t="s">
        <v>37</v>
      </c>
      <c r="B24" s="1214"/>
      <c r="C24" s="1214"/>
      <c r="D24" s="1214"/>
      <c r="E24" s="1214"/>
      <c r="F24" s="1214"/>
      <c r="G24" s="1214"/>
      <c r="H24" s="1214"/>
      <c r="I24" s="3121"/>
      <c r="J24" s="3121"/>
      <c r="K24" s="1214"/>
      <c r="L24" s="1214"/>
      <c r="M24" s="3121"/>
      <c r="N24" s="2176"/>
      <c r="O24" s="1214"/>
      <c r="P24" s="2176"/>
      <c r="Q24" s="2176"/>
      <c r="R24" s="3123"/>
      <c r="S24" s="2150"/>
      <c r="T24" s="3126"/>
      <c r="U24" s="3242"/>
      <c r="V24" s="245"/>
      <c r="W24" s="236"/>
      <c r="X24" s="236"/>
    </row>
    <row r="25" spans="1:247" ht="15.95" customHeight="1">
      <c r="A25" s="227" t="s">
        <v>71</v>
      </c>
      <c r="B25" s="1214">
        <f>'Exhibit J'!O29</f>
        <v>0.6</v>
      </c>
      <c r="C25" s="1214"/>
      <c r="D25" s="2176">
        <f>+'Exhibit J'!AB29</f>
        <v>4.9000000000000004</v>
      </c>
      <c r="E25" s="1214"/>
      <c r="F25" s="1214">
        <f>'Exhibit K'!N25</f>
        <v>7</v>
      </c>
      <c r="G25" s="1214"/>
      <c r="H25" s="1214">
        <f>+'Exhibit K'!AA25</f>
        <v>52.1</v>
      </c>
      <c r="I25" s="3121"/>
      <c r="J25" s="3121">
        <f>ROUND(SUM(B25)+SUM(F25),1)</f>
        <v>7.6</v>
      </c>
      <c r="K25" s="1214"/>
      <c r="L25" s="2176">
        <f>ROUND(SUM(D25)+SUM(H25),1)</f>
        <v>57</v>
      </c>
      <c r="M25" s="3121"/>
      <c r="N25" s="2176">
        <v>9.1</v>
      </c>
      <c r="O25" s="2314"/>
      <c r="P25" s="2176">
        <v>68.2</v>
      </c>
      <c r="Q25" s="2176"/>
      <c r="R25" s="3123"/>
      <c r="S25" s="1214">
        <f>ROUND(SUM(L25-P25),1)</f>
        <v>-11.2</v>
      </c>
      <c r="T25" s="1310"/>
      <c r="U25" s="3240">
        <f>ROUND(+S25/P25,3)</f>
        <v>-0.16400000000000001</v>
      </c>
      <c r="V25" s="245"/>
      <c r="W25" s="236"/>
      <c r="X25" s="236"/>
    </row>
    <row r="26" spans="1:247" ht="15.95" customHeight="1">
      <c r="A26" s="227" t="s">
        <v>72</v>
      </c>
      <c r="B26" s="1214">
        <f>'Exhibit J'!O30</f>
        <v>5.4</v>
      </c>
      <c r="C26" s="1214"/>
      <c r="D26" s="2176">
        <f>+'Exhibit J'!AB30</f>
        <v>94.2</v>
      </c>
      <c r="E26" s="1214"/>
      <c r="F26" s="1214">
        <f>'Exhibit K'!N26</f>
        <v>44.2</v>
      </c>
      <c r="G26" s="1214"/>
      <c r="H26" s="1214">
        <f>+'Exhibit K'!AA26</f>
        <v>327.7</v>
      </c>
      <c r="I26" s="3121"/>
      <c r="J26" s="3121">
        <f>ROUND(SUM(B26)+SUM(F26),1)</f>
        <v>49.6</v>
      </c>
      <c r="K26" s="1214"/>
      <c r="L26" s="2176">
        <f>ROUND(SUM(D26)+SUM(H26),1)</f>
        <v>421.9</v>
      </c>
      <c r="M26" s="3121"/>
      <c r="N26" s="2176">
        <v>36.700000000000003</v>
      </c>
      <c r="O26" s="2314"/>
      <c r="P26" s="2176">
        <v>373.8</v>
      </c>
      <c r="Q26" s="2176"/>
      <c r="R26" s="3123"/>
      <c r="S26" s="1214">
        <f>ROUND(SUM(L26-P26),1)</f>
        <v>48.1</v>
      </c>
      <c r="T26" s="1310"/>
      <c r="U26" s="3240">
        <f>ROUND(+S26/P26,3)</f>
        <v>0.129</v>
      </c>
      <c r="V26" s="245"/>
      <c r="W26" s="236"/>
      <c r="X26" s="236"/>
    </row>
    <row r="27" spans="1:247" ht="15.95" customHeight="1">
      <c r="A27" s="227" t="s">
        <v>73</v>
      </c>
      <c r="B27" s="1214">
        <f>'Exhibit J'!O31</f>
        <v>0</v>
      </c>
      <c r="C27" s="1214"/>
      <c r="D27" s="2176">
        <f>+'Exhibit J'!AB31</f>
        <v>0.7</v>
      </c>
      <c r="E27" s="2176"/>
      <c r="F27" s="1214">
        <f>'Exhibit K'!N27</f>
        <v>3.8</v>
      </c>
      <c r="G27" s="1214"/>
      <c r="H27" s="3127">
        <f>+'Exhibit K'!AA27</f>
        <v>27</v>
      </c>
      <c r="I27" s="2176"/>
      <c r="J27" s="3121">
        <f>ROUND(SUM(B27)+SUM(F27),1)</f>
        <v>3.8</v>
      </c>
      <c r="K27" s="1214"/>
      <c r="L27" s="2176">
        <f>ROUND(SUM(D27)+SUM(H27),1)</f>
        <v>27.7</v>
      </c>
      <c r="M27" s="3121"/>
      <c r="N27" s="3128">
        <v>8</v>
      </c>
      <c r="O27" s="2325"/>
      <c r="P27" s="2176">
        <v>29.1</v>
      </c>
      <c r="Q27" s="2176"/>
      <c r="R27" s="3123"/>
      <c r="S27" s="1214">
        <f>ROUND(SUM(L27-P27),1)</f>
        <v>-1.4</v>
      </c>
      <c r="T27" s="1310"/>
      <c r="U27" s="3240">
        <f>ROUND(+S27/P27,3)</f>
        <v>-4.8000000000000001E-2</v>
      </c>
      <c r="V27" s="245"/>
      <c r="W27" s="236"/>
      <c r="X27" s="236"/>
    </row>
    <row r="28" spans="1:247" ht="15.75" customHeight="1">
      <c r="A28" s="1863" t="s">
        <v>74</v>
      </c>
      <c r="B28" s="1214">
        <f>'Exhibit J'!O32</f>
        <v>167</v>
      </c>
      <c r="C28" s="1214"/>
      <c r="D28" s="2176">
        <f>+'Exhibit J'!AB32</f>
        <v>1359</v>
      </c>
      <c r="E28" s="1214"/>
      <c r="F28" s="2180">
        <v>0</v>
      </c>
      <c r="G28" s="1214"/>
      <c r="H28" s="3129">
        <v>0</v>
      </c>
      <c r="I28" s="2176"/>
      <c r="J28" s="3121">
        <f>ROUND(SUM(B28)+SUM(F28),1)</f>
        <v>167</v>
      </c>
      <c r="K28" s="2641"/>
      <c r="L28" s="2176">
        <f>ROUND(SUM(D28)+SUM(H28),1)</f>
        <v>1359</v>
      </c>
      <c r="M28" s="3130"/>
      <c r="N28" s="3131">
        <v>363.4</v>
      </c>
      <c r="O28" s="2321"/>
      <c r="P28" s="3131">
        <v>2822.6</v>
      </c>
      <c r="Q28" s="2247"/>
      <c r="R28" s="3132"/>
      <c r="S28" s="1214">
        <f>ROUND(SUM(L28-P28),1)</f>
        <v>-1463.6</v>
      </c>
      <c r="T28" s="1310"/>
      <c r="U28" s="3240">
        <f>ROUND(+S28/P28,3)</f>
        <v>-0.51900000000000002</v>
      </c>
      <c r="V28" s="257"/>
      <c r="W28" s="236"/>
      <c r="X28" s="236"/>
    </row>
    <row r="29" spans="1:247" ht="15.75">
      <c r="A29" s="225" t="s">
        <v>61</v>
      </c>
      <c r="B29" s="260">
        <f>ROUND(SUM(B25:B28),1)</f>
        <v>173</v>
      </c>
      <c r="C29" s="2154"/>
      <c r="D29" s="260">
        <f>ROUND(SUM(D25:D28),1)</f>
        <v>1458.8</v>
      </c>
      <c r="E29" s="2154"/>
      <c r="F29" s="260">
        <f>ROUND(SUM(F24:F28),1)</f>
        <v>55</v>
      </c>
      <c r="G29" s="2154"/>
      <c r="H29" s="260">
        <f>ROUND(SUM(H25:H28),1)</f>
        <v>406.8</v>
      </c>
      <c r="I29" s="262"/>
      <c r="J29" s="272">
        <f>ROUND(SUM(J25:J28),1)</f>
        <v>228</v>
      </c>
      <c r="K29" s="2154"/>
      <c r="L29" s="273">
        <f>ROUND(SUM(L25:L28),1)</f>
        <v>1865.6</v>
      </c>
      <c r="M29" s="263"/>
      <c r="N29" s="260">
        <f>ROUND(SUM(N25:N28),1)</f>
        <v>417.2</v>
      </c>
      <c r="O29" s="2154"/>
      <c r="P29" s="260">
        <f>ROUND(SUM(P25:P28),1)</f>
        <v>3293.7</v>
      </c>
      <c r="Q29" s="277"/>
      <c r="R29" s="673"/>
      <c r="S29" s="260">
        <f>ROUND(SUM(S25:S28),1)</f>
        <v>-1428.1</v>
      </c>
      <c r="T29" s="1310"/>
      <c r="U29" s="3243">
        <f>ROUND(+S29/P29,3)</f>
        <v>-0.434</v>
      </c>
      <c r="V29" s="257"/>
      <c r="W29" s="236"/>
      <c r="X29" s="236"/>
    </row>
    <row r="30" spans="1:247" ht="15.75">
      <c r="A30" s="225"/>
      <c r="B30" s="1214"/>
      <c r="C30" s="1214"/>
      <c r="D30" s="1214"/>
      <c r="E30" s="1214"/>
      <c r="F30" s="1214"/>
      <c r="G30" s="1214"/>
      <c r="H30" s="1214"/>
      <c r="I30" s="3121"/>
      <c r="J30" s="3121"/>
      <c r="K30" s="1214"/>
      <c r="L30" s="1214"/>
      <c r="M30" s="3121"/>
      <c r="N30" s="2176"/>
      <c r="O30" s="1214"/>
      <c r="P30" s="2176"/>
      <c r="Q30" s="2176"/>
      <c r="R30" s="3123"/>
      <c r="S30" s="2150"/>
      <c r="T30" s="3126"/>
      <c r="U30" s="3242"/>
      <c r="V30" s="245"/>
      <c r="W30" s="236"/>
      <c r="X30" s="236"/>
    </row>
    <row r="31" spans="1:247" ht="15.95" customHeight="1">
      <c r="A31" s="225" t="s">
        <v>45</v>
      </c>
      <c r="B31" s="1214"/>
      <c r="C31" s="1214"/>
      <c r="D31" s="1214"/>
      <c r="E31" s="1214"/>
      <c r="F31" s="1214"/>
      <c r="G31" s="1214"/>
      <c r="H31" s="1214"/>
      <c r="I31" s="3121"/>
      <c r="J31" s="3121"/>
      <c r="K31" s="1214"/>
      <c r="L31" s="1214"/>
      <c r="M31" s="3121"/>
      <c r="N31" s="2176"/>
      <c r="O31" s="1214"/>
      <c r="P31" s="2176"/>
      <c r="Q31" s="2176"/>
      <c r="R31" s="3123"/>
      <c r="S31" s="2150"/>
      <c r="T31" s="3126"/>
      <c r="U31" s="3242"/>
      <c r="V31" s="245"/>
      <c r="W31" s="236"/>
      <c r="X31" s="236"/>
    </row>
    <row r="32" spans="1:247" ht="15.75">
      <c r="A32" s="225" t="s">
        <v>75</v>
      </c>
      <c r="B32" s="274">
        <f>ROUND(SUM(B21-B29),1)</f>
        <v>19.399999999999999</v>
      </c>
      <c r="C32" s="2154"/>
      <c r="D32" s="275">
        <f>ROUND(SUM(D21-D29),1)</f>
        <v>14.2</v>
      </c>
      <c r="E32" s="2154"/>
      <c r="F32" s="275">
        <f>ROUND(SUM(F21-F29),1)</f>
        <v>-24</v>
      </c>
      <c r="G32" s="2154"/>
      <c r="H32" s="275">
        <f>ROUND(SUM(H21-H29),1)</f>
        <v>-156</v>
      </c>
      <c r="I32" s="263"/>
      <c r="J32" s="276">
        <f>ROUND(SUM(J21-J29),1)</f>
        <v>-4.5999999999999996</v>
      </c>
      <c r="K32" s="2154"/>
      <c r="L32" s="275">
        <f>ROUND(SUM(L21-L29),1)</f>
        <v>-141.80000000000001</v>
      </c>
      <c r="M32" s="263"/>
      <c r="N32" s="275">
        <f>ROUND(SUM(N21-N29),1)</f>
        <v>51.5</v>
      </c>
      <c r="O32" s="277"/>
      <c r="P32" s="275">
        <f>ROUND(SUM(P21-P29),1)</f>
        <v>-102.8</v>
      </c>
      <c r="Q32" s="277"/>
      <c r="R32" s="673"/>
      <c r="S32" s="275">
        <f>ROUND(SUM(S21-S29),1)</f>
        <v>-39</v>
      </c>
      <c r="T32" s="3126"/>
      <c r="U32" s="3244">
        <f>-ROUND(+S32/P32,3)</f>
        <v>-0.379</v>
      </c>
      <c r="V32" s="245"/>
      <c r="W32" s="236"/>
      <c r="X32" s="236"/>
    </row>
    <row r="33" spans="1:247">
      <c r="A33" s="227"/>
      <c r="B33" s="1214"/>
      <c r="C33" s="1214"/>
      <c r="D33" s="1214"/>
      <c r="E33" s="1214"/>
      <c r="F33" s="1214"/>
      <c r="G33" s="1214"/>
      <c r="H33" s="1214"/>
      <c r="I33" s="3121"/>
      <c r="J33" s="3121"/>
      <c r="K33" s="1214"/>
      <c r="L33" s="1214"/>
      <c r="M33" s="3121"/>
      <c r="N33" s="2176"/>
      <c r="O33" s="1214"/>
      <c r="P33" s="2176"/>
      <c r="Q33" s="2176"/>
      <c r="R33" s="3123"/>
      <c r="S33" s="2150"/>
      <c r="T33" s="3126"/>
      <c r="U33" s="3242"/>
      <c r="V33" s="245"/>
      <c r="W33" s="236"/>
      <c r="X33" s="236"/>
    </row>
    <row r="34" spans="1:247" ht="15.95" customHeight="1">
      <c r="A34" s="225" t="s">
        <v>47</v>
      </c>
      <c r="B34" s="1214"/>
      <c r="C34" s="1214"/>
      <c r="D34" s="1214"/>
      <c r="E34" s="1214"/>
      <c r="F34" s="1214"/>
      <c r="G34" s="1214"/>
      <c r="H34" s="1214"/>
      <c r="I34" s="3121"/>
      <c r="J34" s="3121"/>
      <c r="K34" s="1214"/>
      <c r="L34" s="1214"/>
      <c r="M34" s="3121"/>
      <c r="N34" s="2176"/>
      <c r="O34" s="1214"/>
      <c r="P34" s="2176"/>
      <c r="Q34" s="2176"/>
      <c r="R34" s="3123"/>
      <c r="S34" s="2150"/>
      <c r="T34" s="3126"/>
      <c r="U34" s="3242"/>
      <c r="V34" s="245"/>
      <c r="W34" s="236"/>
      <c r="X34" s="236"/>
    </row>
    <row r="35" spans="1:247" ht="15.95" customHeight="1">
      <c r="A35" s="227" t="s">
        <v>49</v>
      </c>
      <c r="B35" s="2180">
        <f>+'Exhibit J'!O44</f>
        <v>0</v>
      </c>
      <c r="C35" s="1214"/>
      <c r="D35" s="2180">
        <f>+'Exhibit J'!AB44</f>
        <v>0</v>
      </c>
      <c r="E35" s="1214"/>
      <c r="F35" s="1214">
        <f>'Exhibit K'!N39</f>
        <v>2</v>
      </c>
      <c r="G35" s="1372"/>
      <c r="H35" s="3133">
        <f>+'Exhibit K'!AA39</f>
        <v>40.799999999999997</v>
      </c>
      <c r="I35" s="3121"/>
      <c r="J35" s="3121">
        <f>ROUND(SUM(B35)+SUM(F35),1)</f>
        <v>2</v>
      </c>
      <c r="K35" s="1372"/>
      <c r="L35" s="3127">
        <f>ROUND(SUM(D35)+SUM(H35),1)</f>
        <v>40.799999999999997</v>
      </c>
      <c r="M35" s="2176"/>
      <c r="N35" s="3128">
        <v>4.5</v>
      </c>
      <c r="O35" s="2176"/>
      <c r="P35" s="3128">
        <v>44.8</v>
      </c>
      <c r="Q35" s="3128"/>
      <c r="R35" s="3134"/>
      <c r="S35" s="1214">
        <f>ROUND(SUM(L35-P35),1)</f>
        <v>-4</v>
      </c>
      <c r="T35" s="1310"/>
      <c r="U35" s="3240">
        <f>ROUND(+S35/P35,3)</f>
        <v>-8.8999999999999996E-2</v>
      </c>
      <c r="V35" s="282"/>
      <c r="W35" s="236"/>
      <c r="X35" s="236"/>
    </row>
    <row r="36" spans="1:247" ht="15.95" customHeight="1">
      <c r="A36" s="227" t="s">
        <v>76</v>
      </c>
      <c r="B36" s="3135">
        <f>+'Exhibit J'!O45</f>
        <v>0</v>
      </c>
      <c r="C36" s="1984"/>
      <c r="D36" s="3136">
        <f>+'Exhibit J'!AB45</f>
        <v>-0.3</v>
      </c>
      <c r="E36" s="1214"/>
      <c r="F36" s="1214">
        <f>'Exhibit K'!N40</f>
        <v>0</v>
      </c>
      <c r="G36" s="1214"/>
      <c r="H36" s="3133">
        <f>+'Exhibit K'!AA40</f>
        <v>-17.5</v>
      </c>
      <c r="I36" s="3137"/>
      <c r="J36" s="3121">
        <f>ROUND(SUM(B36)+SUM(F36),1)</f>
        <v>0</v>
      </c>
      <c r="K36" s="1214"/>
      <c r="L36" s="2176">
        <f>ROUND(SUM(D36)+SUM(H36),1)</f>
        <v>-17.8</v>
      </c>
      <c r="M36" s="3121"/>
      <c r="N36" s="2162">
        <v>0</v>
      </c>
      <c r="O36" s="2641"/>
      <c r="P36" s="3138">
        <v>-6.4</v>
      </c>
      <c r="Q36" s="3128"/>
      <c r="R36" s="3134"/>
      <c r="S36" s="3245">
        <f>ROUND(SUM(L36-P36),1)*-1</f>
        <v>11.4</v>
      </c>
      <c r="T36" s="1310"/>
      <c r="U36" s="3240">
        <f>-ROUND(+S36/P36,3)</f>
        <v>1.7809999999999999</v>
      </c>
      <c r="V36" s="281"/>
      <c r="W36" s="236"/>
      <c r="X36" s="236"/>
    </row>
    <row r="37" spans="1:247" ht="15.75">
      <c r="A37" s="225" t="s">
        <v>52</v>
      </c>
      <c r="B37" s="285">
        <f>ROUND(SUM(B35:B36),1)</f>
        <v>0</v>
      </c>
      <c r="C37" s="286"/>
      <c r="D37" s="285">
        <f>ROUND(SUM(D35:D36),1)</f>
        <v>-0.3</v>
      </c>
      <c r="E37" s="2154"/>
      <c r="F37" s="287">
        <f>ROUND(SUM(F35:F36),1)</f>
        <v>2</v>
      </c>
      <c r="G37" s="288"/>
      <c r="H37" s="289">
        <f>ROUND(SUM(H35:H36),1)</f>
        <v>23.3</v>
      </c>
      <c r="I37" s="277"/>
      <c r="J37" s="290">
        <f>ROUND(SUM(J35:J36),1)</f>
        <v>2</v>
      </c>
      <c r="K37" s="288"/>
      <c r="L37" s="289">
        <f>ROUND(SUM(L35:L36),1)</f>
        <v>23</v>
      </c>
      <c r="M37" s="263"/>
      <c r="N37" s="291">
        <f>ROUND(SUM(N35:N36),1)</f>
        <v>4.5</v>
      </c>
      <c r="O37" s="2154"/>
      <c r="P37" s="291">
        <f>ROUND(SUM(P35:P36),1)</f>
        <v>38.4</v>
      </c>
      <c r="Q37" s="2257"/>
      <c r="R37" s="2267"/>
      <c r="S37" s="287">
        <f>ROUND(SUM(S35-S36),1)</f>
        <v>-15.4</v>
      </c>
      <c r="T37" s="3139"/>
      <c r="U37" s="533">
        <f>ROUND(SUM(S37/P37),3)</f>
        <v>-0.40100000000000002</v>
      </c>
      <c r="V37" s="292"/>
      <c r="W37" s="236"/>
      <c r="X37" s="236"/>
    </row>
    <row r="38" spans="1:247" ht="15.75">
      <c r="A38" s="225"/>
      <c r="B38" s="1405"/>
      <c r="C38" s="1214"/>
      <c r="D38" s="1405"/>
      <c r="E38" s="1214"/>
      <c r="F38" s="2176"/>
      <c r="G38" s="1214"/>
      <c r="H38" s="2176"/>
      <c r="I38" s="3121"/>
      <c r="J38" s="3121"/>
      <c r="K38" s="1214"/>
      <c r="L38" s="1405"/>
      <c r="M38" s="3121"/>
      <c r="N38" s="2176"/>
      <c r="O38" s="1214"/>
      <c r="P38" s="2176"/>
      <c r="Q38" s="2176"/>
      <c r="R38" s="3123"/>
      <c r="S38" s="2150"/>
      <c r="T38" s="3126"/>
      <c r="U38" s="1874"/>
      <c r="V38" s="245"/>
      <c r="W38" s="236"/>
      <c r="X38" s="236"/>
    </row>
    <row r="39" spans="1:247" ht="15.75" customHeight="1">
      <c r="A39" s="225" t="s">
        <v>45</v>
      </c>
      <c r="B39" s="1214"/>
      <c r="C39" s="1214"/>
      <c r="D39" s="1214"/>
      <c r="E39" s="1214"/>
      <c r="F39" s="1214"/>
      <c r="G39" s="1214"/>
      <c r="H39" s="1214"/>
      <c r="I39" s="3121"/>
      <c r="J39" s="3121"/>
      <c r="K39" s="1214"/>
      <c r="L39" s="1214"/>
      <c r="M39" s="3121"/>
      <c r="N39" s="2176"/>
      <c r="O39" s="1214"/>
      <c r="P39" s="2176"/>
      <c r="Q39" s="2176"/>
      <c r="R39" s="3123"/>
      <c r="S39" s="2150"/>
      <c r="T39" s="3126"/>
      <c r="U39" s="1874"/>
      <c r="V39" s="245"/>
      <c r="W39" s="236"/>
      <c r="X39" s="236"/>
    </row>
    <row r="40" spans="1:247" ht="15.75" customHeight="1">
      <c r="A40" s="225" t="s">
        <v>77</v>
      </c>
      <c r="B40" s="1214"/>
      <c r="C40" s="1214"/>
      <c r="D40" s="1214"/>
      <c r="E40" s="1214"/>
      <c r="F40" s="1214"/>
      <c r="G40" s="1214"/>
      <c r="H40" s="1214"/>
      <c r="I40" s="3121"/>
      <c r="J40" s="3121"/>
      <c r="K40" s="1214"/>
      <c r="L40" s="1214"/>
      <c r="M40" s="3121"/>
      <c r="N40" s="2176"/>
      <c r="O40" s="1214"/>
      <c r="P40" s="2176"/>
      <c r="Q40" s="2176"/>
      <c r="R40" s="3123"/>
      <c r="S40" s="2150"/>
      <c r="T40" s="3126"/>
      <c r="U40" s="1874"/>
      <c r="V40" s="245"/>
      <c r="W40" s="236"/>
      <c r="X40" s="236"/>
    </row>
    <row r="41" spans="1:247" ht="15.75" customHeight="1">
      <c r="A41" s="225" t="s">
        <v>78</v>
      </c>
      <c r="B41" s="1214"/>
      <c r="C41" s="1214"/>
      <c r="D41" s="1214"/>
      <c r="E41" s="1214"/>
      <c r="F41" s="1214"/>
      <c r="G41" s="1214"/>
      <c r="H41" s="1214"/>
      <c r="I41" s="3121"/>
      <c r="J41" s="3121"/>
      <c r="K41" s="1214"/>
      <c r="L41" s="1214"/>
      <c r="M41" s="3121"/>
      <c r="N41" s="2176"/>
      <c r="O41" s="1214"/>
      <c r="P41" s="2176"/>
      <c r="Q41" s="2176"/>
      <c r="R41" s="3123"/>
      <c r="S41" s="2150"/>
      <c r="T41" s="3126"/>
      <c r="U41" s="1874"/>
      <c r="V41" s="245"/>
      <c r="W41" s="236"/>
      <c r="X41" s="236"/>
    </row>
    <row r="42" spans="1:247" ht="15.75" customHeight="1">
      <c r="A42" s="225" t="s">
        <v>79</v>
      </c>
      <c r="B42" s="294">
        <f>ROUND(SUM(B32,B37),1)</f>
        <v>19.399999999999999</v>
      </c>
      <c r="C42" s="2154"/>
      <c r="D42" s="294">
        <f>ROUND(SUM(D32,D37),1)</f>
        <v>13.9</v>
      </c>
      <c r="E42" s="2154"/>
      <c r="F42" s="294">
        <f>ROUND(SUM(F32,F37),1)</f>
        <v>-22</v>
      </c>
      <c r="G42" s="2154"/>
      <c r="H42" s="294">
        <f>ROUND(SUM(H32,H37),1)</f>
        <v>-132.69999999999999</v>
      </c>
      <c r="I42" s="295"/>
      <c r="J42" s="294">
        <f>ROUND(SUM(J32,J37),1)</f>
        <v>-2.6</v>
      </c>
      <c r="K42" s="2154"/>
      <c r="L42" s="294">
        <f>ROUND(SUM(L32,L37),1)</f>
        <v>-118.8</v>
      </c>
      <c r="M42" s="263"/>
      <c r="N42" s="294">
        <f>ROUND(SUM(N32,N37),1)</f>
        <v>56</v>
      </c>
      <c r="O42" s="2154"/>
      <c r="P42" s="294">
        <f>ROUND(SUM(P32,P37),1)</f>
        <v>-64.400000000000006</v>
      </c>
      <c r="Q42" s="294"/>
      <c r="R42" s="2268"/>
      <c r="S42" s="294">
        <f>ROUND(SUM(S32,S37),1)</f>
        <v>-54.4</v>
      </c>
      <c r="T42" s="296"/>
      <c r="U42" s="2235">
        <f>-ROUND(S42/P42,3)</f>
        <v>-0.84499999999999997</v>
      </c>
      <c r="V42" s="245"/>
      <c r="W42" s="236"/>
      <c r="X42" s="236"/>
    </row>
    <row r="43" spans="1:247" ht="15.75">
      <c r="A43" s="225"/>
      <c r="B43" s="1214"/>
      <c r="C43" s="1214"/>
      <c r="D43" s="1214"/>
      <c r="E43" s="1214"/>
      <c r="F43" s="1214"/>
      <c r="G43" s="1214"/>
      <c r="H43" s="1214"/>
      <c r="I43" s="3121"/>
      <c r="J43" s="3121"/>
      <c r="K43" s="1214"/>
      <c r="L43" s="1214"/>
      <c r="M43" s="3121"/>
      <c r="N43" s="2176"/>
      <c r="O43" s="1214"/>
      <c r="P43" s="2176"/>
      <c r="Q43" s="2176"/>
      <c r="R43" s="3123"/>
      <c r="S43" s="2150"/>
      <c r="T43" s="3126"/>
      <c r="U43" s="2150"/>
      <c r="V43" s="245"/>
      <c r="W43" s="236"/>
      <c r="X43" s="236"/>
    </row>
    <row r="44" spans="1:247" s="264" customFormat="1" ht="15.75">
      <c r="A44" s="225" t="s">
        <v>80</v>
      </c>
      <c r="B44" s="2154">
        <v>57</v>
      </c>
      <c r="C44" s="2154"/>
      <c r="D44" s="2154">
        <f>+'Exhibit J'!AB16</f>
        <v>62.5</v>
      </c>
      <c r="E44" s="2154"/>
      <c r="F44" s="2154">
        <v>-183.4</v>
      </c>
      <c r="G44" s="2154"/>
      <c r="H44" s="2154">
        <f>+'Exhibit K'!AA14</f>
        <v>-72.7</v>
      </c>
      <c r="I44" s="263"/>
      <c r="J44" s="263">
        <f>ROUND(SUM(B44)+SUM(F44),1)</f>
        <v>-126.4</v>
      </c>
      <c r="K44" s="2154"/>
      <c r="L44" s="2154">
        <f>ROUND(SUM(D44)+SUM(H44),1)</f>
        <v>-10.199999999999999</v>
      </c>
      <c r="M44" s="263"/>
      <c r="N44" s="275">
        <v>-43.1</v>
      </c>
      <c r="O44" s="2154"/>
      <c r="P44" s="275">
        <f>+'Exhibit J'!AE16+'Exhibit K'!AD14</f>
        <v>77.3</v>
      </c>
      <c r="Q44" s="277"/>
      <c r="R44" s="673"/>
      <c r="S44" s="2154">
        <f>ROUND(SUM(L44-P44),1)</f>
        <v>-87.5</v>
      </c>
      <c r="T44" s="296"/>
      <c r="U44" s="2343">
        <f>ROUND(SUM(S44/P44),3)</f>
        <v>-1.1319999999999999</v>
      </c>
      <c r="V44" s="296"/>
      <c r="W44" s="297"/>
      <c r="X44" s="297"/>
    </row>
    <row r="45" spans="1:247" ht="16.5" thickBot="1">
      <c r="A45" s="225" t="s">
        <v>81</v>
      </c>
      <c r="B45" s="298">
        <f>ROUND(SUM(B42+B44),1)</f>
        <v>76.400000000000006</v>
      </c>
      <c r="C45" s="299"/>
      <c r="D45" s="298">
        <f>ROUND(SUM(D42+D44),1)</f>
        <v>76.400000000000006</v>
      </c>
      <c r="E45" s="299"/>
      <c r="F45" s="298">
        <f>ROUND(SUM(F42+F44),1)</f>
        <v>-205.4</v>
      </c>
      <c r="G45" s="299"/>
      <c r="H45" s="298">
        <f>ROUND(SUM(H42+H44),1)</f>
        <v>-205.4</v>
      </c>
      <c r="I45" s="300"/>
      <c r="J45" s="301">
        <f>ROUND(SUM(J42+J44),1)</f>
        <v>-129</v>
      </c>
      <c r="K45" s="299"/>
      <c r="L45" s="302">
        <f>ROUND(SUM(L42+L44),1)</f>
        <v>-129</v>
      </c>
      <c r="M45" s="300"/>
      <c r="N45" s="303">
        <f>ROUND(SUM(N42+N44),1)</f>
        <v>12.9</v>
      </c>
      <c r="O45" s="299"/>
      <c r="P45" s="303">
        <f>ROUND(SUM(P42+P44),1)</f>
        <v>12.9</v>
      </c>
      <c r="Q45" s="429"/>
      <c r="R45" s="664"/>
      <c r="S45" s="303">
        <f>ROUND(SUM(S42+S44),1)</f>
        <v>-141.9</v>
      </c>
      <c r="T45" s="2653"/>
      <c r="U45" s="3316">
        <f>ROUND(SUM(S45/P45),3)</f>
        <v>-11</v>
      </c>
      <c r="V45" s="249"/>
      <c r="W45" s="236"/>
      <c r="X45" s="236"/>
    </row>
    <row r="46" spans="1:247" ht="3.95" customHeight="1" thickTop="1">
      <c r="A46" s="227"/>
      <c r="B46" s="3140"/>
      <c r="C46" s="2159"/>
      <c r="D46" s="3140"/>
      <c r="E46" s="2159"/>
      <c r="F46" s="3140"/>
      <c r="G46" s="2159"/>
      <c r="H46" s="3140"/>
      <c r="I46" s="2159"/>
      <c r="J46" s="3140"/>
      <c r="K46" s="2159"/>
      <c r="L46" s="3140"/>
      <c r="M46" s="2159"/>
      <c r="N46" s="2653"/>
      <c r="O46" s="2159"/>
      <c r="P46" s="2653"/>
      <c r="Q46" s="2653"/>
      <c r="R46" s="2653"/>
      <c r="S46" s="2159"/>
      <c r="T46" s="3141"/>
      <c r="U46" s="3142"/>
      <c r="V46" s="305"/>
      <c r="W46" s="250"/>
      <c r="X46" s="250"/>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248"/>
      <c r="DI46" s="248"/>
      <c r="DJ46" s="248"/>
      <c r="DK46" s="248"/>
      <c r="DL46" s="248"/>
      <c r="DM46" s="248"/>
      <c r="DN46" s="248"/>
      <c r="DO46" s="248"/>
      <c r="DP46" s="248"/>
      <c r="DQ46" s="248"/>
      <c r="DR46" s="248"/>
      <c r="DS46" s="248"/>
      <c r="DT46" s="248"/>
      <c r="DU46" s="248"/>
      <c r="DV46" s="248"/>
      <c r="DW46" s="248"/>
      <c r="DX46" s="248"/>
      <c r="DY46" s="248"/>
      <c r="DZ46" s="248"/>
      <c r="EA46" s="248"/>
      <c r="EB46" s="248"/>
      <c r="EC46" s="248"/>
      <c r="ED46" s="248"/>
      <c r="EE46" s="248"/>
      <c r="EF46" s="248"/>
      <c r="EG46" s="248"/>
      <c r="EH46" s="248"/>
      <c r="EI46" s="248"/>
      <c r="EJ46" s="248"/>
      <c r="EK46" s="248"/>
      <c r="EL46" s="248"/>
      <c r="EM46" s="248"/>
      <c r="EN46" s="248"/>
      <c r="EO46" s="248"/>
      <c r="EP46" s="248"/>
      <c r="EQ46" s="248"/>
      <c r="ER46" s="248"/>
      <c r="ES46" s="248"/>
      <c r="ET46" s="248"/>
      <c r="EU46" s="248"/>
      <c r="EV46" s="248"/>
      <c r="EW46" s="248"/>
      <c r="EX46" s="248"/>
      <c r="EY46" s="248"/>
      <c r="EZ46" s="248"/>
      <c r="FA46" s="248"/>
      <c r="FB46" s="248"/>
      <c r="FC46" s="248"/>
      <c r="FD46" s="248"/>
      <c r="FE46" s="248"/>
      <c r="FF46" s="248"/>
      <c r="FG46" s="248"/>
      <c r="FH46" s="248"/>
      <c r="FI46" s="248"/>
      <c r="FJ46" s="248"/>
      <c r="FK46" s="248"/>
      <c r="FL46" s="248"/>
      <c r="FM46" s="248"/>
      <c r="FN46" s="248"/>
      <c r="FO46" s="248"/>
      <c r="FP46" s="248"/>
      <c r="FQ46" s="248"/>
      <c r="FR46" s="248"/>
      <c r="FS46" s="248"/>
      <c r="FT46" s="248"/>
      <c r="FU46" s="248"/>
      <c r="FV46" s="248"/>
      <c r="FW46" s="248"/>
      <c r="FX46" s="248"/>
      <c r="FY46" s="248"/>
      <c r="FZ46" s="248"/>
      <c r="GA46" s="248"/>
      <c r="GB46" s="248"/>
      <c r="GC46" s="248"/>
      <c r="GD46" s="248"/>
      <c r="GE46" s="248"/>
      <c r="GF46" s="248"/>
      <c r="GG46" s="248"/>
      <c r="GH46" s="248"/>
      <c r="GI46" s="248"/>
      <c r="GJ46" s="248"/>
      <c r="GK46" s="248"/>
      <c r="GL46" s="248"/>
      <c r="GM46" s="248"/>
      <c r="GN46" s="248"/>
      <c r="GO46" s="248"/>
      <c r="GP46" s="248"/>
      <c r="GQ46" s="248"/>
      <c r="GR46" s="248"/>
      <c r="GS46" s="248"/>
      <c r="GT46" s="248"/>
      <c r="GU46" s="248"/>
      <c r="GV46" s="248"/>
      <c r="GW46" s="248"/>
      <c r="GX46" s="248"/>
      <c r="GY46" s="248"/>
      <c r="GZ46" s="248"/>
      <c r="HA46" s="248"/>
      <c r="HB46" s="248"/>
      <c r="HC46" s="248"/>
      <c r="HD46" s="248"/>
      <c r="HE46" s="248"/>
      <c r="HF46" s="248"/>
      <c r="HG46" s="248"/>
      <c r="HH46" s="248"/>
      <c r="HI46" s="248"/>
      <c r="HJ46" s="248"/>
      <c r="HK46" s="248"/>
      <c r="HL46" s="248"/>
      <c r="HM46" s="248"/>
      <c r="HN46" s="248"/>
      <c r="HO46" s="248"/>
      <c r="HP46" s="248"/>
      <c r="HQ46" s="248"/>
      <c r="HR46" s="248"/>
      <c r="HS46" s="248"/>
      <c r="HT46" s="248"/>
      <c r="HU46" s="248"/>
      <c r="HV46" s="248"/>
      <c r="HW46" s="248"/>
      <c r="HX46" s="248"/>
      <c r="HY46" s="248"/>
      <c r="HZ46" s="248"/>
      <c r="IA46" s="248"/>
      <c r="IB46" s="248"/>
      <c r="IC46" s="248"/>
      <c r="ID46" s="248"/>
      <c r="IE46" s="248"/>
      <c r="IF46" s="248"/>
      <c r="IG46" s="248"/>
      <c r="IH46" s="248"/>
      <c r="II46" s="248"/>
      <c r="IJ46" s="248"/>
      <c r="IK46" s="248"/>
      <c r="IL46" s="248"/>
      <c r="IM46" s="248"/>
    </row>
    <row r="47" spans="1:247">
      <c r="A47" s="1407"/>
      <c r="B47" s="234"/>
      <c r="C47" s="234"/>
      <c r="D47" s="234"/>
      <c r="E47" s="234"/>
      <c r="F47" s="306"/>
      <c r="G47" s="234"/>
      <c r="H47" s="234"/>
      <c r="I47" s="234"/>
      <c r="J47" s="234"/>
      <c r="K47" s="234"/>
      <c r="L47" s="234"/>
      <c r="M47" s="234"/>
      <c r="N47" s="234"/>
      <c r="O47" s="234"/>
      <c r="P47" s="234"/>
      <c r="Q47" s="234"/>
      <c r="R47" s="308"/>
      <c r="S47" s="234"/>
      <c r="T47" s="240"/>
      <c r="U47" s="236"/>
      <c r="V47" s="240"/>
      <c r="W47" s="236"/>
      <c r="X47" s="236"/>
    </row>
    <row r="48" spans="1:247" s="307" customFormat="1" ht="16.5" customHeight="1">
      <c r="A48" s="2346"/>
      <c r="R48" s="2258"/>
    </row>
    <row r="49" spans="1:21">
      <c r="A49" s="1407"/>
      <c r="B49" s="234"/>
      <c r="C49" s="234"/>
      <c r="D49" s="234"/>
      <c r="E49" s="234"/>
      <c r="F49" s="234"/>
      <c r="G49" s="234"/>
      <c r="H49" s="234"/>
      <c r="I49" s="234"/>
      <c r="J49" s="234"/>
      <c r="K49" s="234"/>
      <c r="L49" s="234"/>
      <c r="M49" s="234"/>
      <c r="N49" s="234"/>
      <c r="O49" s="234"/>
      <c r="P49" s="234"/>
      <c r="Q49" s="234"/>
      <c r="R49" s="308"/>
      <c r="S49" s="234"/>
      <c r="T49" s="308"/>
      <c r="U49" s="234"/>
    </row>
    <row r="50" spans="1:21">
      <c r="A50" s="1407"/>
      <c r="B50" s="234"/>
      <c r="C50" s="234"/>
      <c r="D50" s="234"/>
      <c r="E50" s="234"/>
      <c r="F50" s="234"/>
      <c r="G50" s="234"/>
      <c r="H50" s="234"/>
      <c r="I50" s="234"/>
      <c r="J50" s="234"/>
      <c r="K50" s="234"/>
      <c r="L50" s="234"/>
      <c r="M50" s="234"/>
      <c r="N50" s="234"/>
      <c r="O50" s="234"/>
      <c r="P50" s="234"/>
      <c r="Q50" s="234"/>
      <c r="R50" s="308"/>
      <c r="S50" s="234"/>
      <c r="T50" s="308"/>
      <c r="U50" s="234"/>
    </row>
    <row r="51" spans="1:21">
      <c r="A51" s="1407"/>
      <c r="B51" s="234"/>
      <c r="C51" s="234"/>
      <c r="D51" s="234"/>
      <c r="E51" s="234"/>
      <c r="F51" s="234"/>
      <c r="G51" s="234"/>
      <c r="H51" s="234"/>
      <c r="I51" s="234"/>
      <c r="J51" s="234"/>
      <c r="K51" s="234"/>
      <c r="L51" s="234"/>
      <c r="M51" s="234"/>
      <c r="N51" s="234"/>
      <c r="O51" s="234"/>
      <c r="P51" s="234"/>
      <c r="Q51" s="234"/>
      <c r="R51" s="308"/>
      <c r="S51" s="234"/>
      <c r="T51" s="308"/>
      <c r="U51" s="234"/>
    </row>
    <row r="52" spans="1:21">
      <c r="A52" s="1407"/>
      <c r="B52" s="234"/>
      <c r="C52" s="234"/>
      <c r="D52" s="234"/>
      <c r="E52" s="234"/>
      <c r="F52" s="234"/>
      <c r="G52" s="234"/>
      <c r="H52" s="234"/>
      <c r="I52" s="234"/>
      <c r="J52" s="234"/>
      <c r="K52" s="234"/>
      <c r="L52" s="234"/>
      <c r="M52" s="234"/>
      <c r="N52" s="234"/>
      <c r="O52" s="234"/>
      <c r="P52" s="234"/>
      <c r="Q52" s="234"/>
      <c r="R52" s="308"/>
      <c r="S52" s="234"/>
      <c r="T52" s="308"/>
      <c r="U52" s="234"/>
    </row>
    <row r="53" spans="1:21">
      <c r="A53" s="2150"/>
    </row>
    <row r="54" spans="1:21">
      <c r="A54" s="2150"/>
    </row>
    <row r="55" spans="1:21">
      <c r="A55" s="2150"/>
    </row>
    <row r="56" spans="1:21">
      <c r="A56" s="2150"/>
    </row>
    <row r="57" spans="1:21">
      <c r="A57" s="2150"/>
    </row>
  </sheetData>
  <customSheetViews>
    <customSheetView guid="{BD09DBC2-63A5-4D9C-9B00-4281066E9389}" scale="75" showGridLines="0" outlineSymbols="0" printArea="1">
      <selection activeCell="S19" sqref="S19"/>
      <pageMargins left="0.28000000000000003" right="0" top="0.55000000000000004" bottom="0.36" header="0" footer="0.25"/>
      <pageSetup scale="57" firstPageNumber="5" orientation="landscape" useFirstPageNumber="1" r:id="rId1"/>
      <headerFooter scaleWithDoc="0" alignWithMargins="0">
        <oddFooter>&amp;C&amp;8&amp;P</oddFooter>
      </headerFooter>
    </customSheetView>
    <customSheetView guid="{C82E0A7D-2B5B-48FC-A705-3168E651E04C}" scale="75" showGridLines="0" outlineSymbols="0">
      <selection activeCell="U36" sqref="U36"/>
      <pageMargins left="0.28000000000000003" right="0" top="0.55000000000000004" bottom="0.36" header="0" footer="0.25"/>
      <pageSetup scale="57" orientation="landscape" r:id="rId2"/>
      <headerFooter scaleWithDoc="0" alignWithMargins="0">
        <oddFooter>&amp;C&amp;8 5</oddFooter>
      </headerFooter>
    </customSheetView>
    <customSheetView guid="{A8B05C3B-0E7E-44A3-A097-AF4C5C09F04E}" scale="70" showGridLines="0" outlineSymbols="0" printArea="1" topLeftCell="A11">
      <selection activeCell="X45" sqref="X45"/>
      <pageMargins left="0.28000000000000003" right="0" top="0.55000000000000004" bottom="0.36" header="0" footer="0.25"/>
      <pageSetup scale="57" orientation="landscape" r:id="rId3"/>
      <headerFooter scaleWithDoc="0" alignWithMargins="0">
        <oddFooter>&amp;C&amp;8 5</oddFooter>
      </headerFooter>
    </customSheetView>
    <customSheetView guid="{8EE6466D-211E-4E05-9F84-CC0A1C6F79F4}" scale="75" showGridLines="0" outlineSymbols="0" topLeftCell="A4">
      <selection activeCell="U36" sqref="U36"/>
      <pageMargins left="0.28000000000000003" right="0" top="0.55000000000000004" bottom="0.36" header="0" footer="0.25"/>
      <pageSetup scale="57" orientation="landscape" r:id="rId4"/>
      <headerFooter scaleWithDoc="0" alignWithMargins="0">
        <oddFooter>&amp;C&amp;8 5</oddFooter>
      </headerFooter>
    </customSheetView>
    <customSheetView guid="{4735AAE3-27B4-4549-AAB4-50ACA997F5F5}" scale="75" showGridLines="0" outlineSymbols="0" topLeftCell="A12">
      <selection activeCell="N36" sqref="N36"/>
      <pageMargins left="0.28000000000000003" right="0" top="0.55000000000000004" bottom="0.36" header="0" footer="0.25"/>
      <pageSetup scale="57" orientation="landscape" r:id="rId5"/>
      <headerFooter scaleWithDoc="0" alignWithMargins="0">
        <oddFooter>&amp;C&amp;8 5</oddFooter>
      </headerFooter>
    </customSheetView>
    <customSheetView guid="{80622567-647A-4891-B8EE-6B9E2C4DAC44}" scale="75" showGridLines="0" outlineSymbols="0" printArea="1" topLeftCell="A13">
      <selection activeCell="L31" sqref="L31"/>
      <pageMargins left="0.28000000000000003" right="0" top="0.55000000000000004" bottom="0.36" header="0" footer="0.25"/>
      <pageSetup scale="57" orientation="landscape" r:id="rId6"/>
      <headerFooter scaleWithDoc="0" alignWithMargins="0">
        <oddFooter>&amp;C&amp;8 5</oddFooter>
      </headerFooter>
    </customSheetView>
    <customSheetView guid="{A97EE6C3-4DA8-41BD-BE43-F596EFCB43CA}" scale="75" showGridLines="0" outlineSymbols="0" printArea="1">
      <selection activeCell="U36" sqref="U36"/>
      <pageMargins left="0.28000000000000003" right="0" top="0.55000000000000004" bottom="0.36" header="0" footer="0.25"/>
      <pageSetup scale="57" orientation="landscape" r:id="rId7"/>
      <headerFooter scaleWithDoc="0" alignWithMargins="0">
        <oddFooter>&amp;C&amp;8 5</oddFooter>
      </headerFooter>
    </customSheetView>
    <customSheetView guid="{90B76C5A-2FC4-40F0-8436-3E4F075A4887}" scale="70" showGridLines="0" outlineSymbols="0" printArea="1">
      <selection activeCell="L31" sqref="L31"/>
      <pageMargins left="0.28000000000000003" right="0" top="0.55000000000000004" bottom="0.36" header="0" footer="0.25"/>
      <pageSetup scale="57" orientation="landscape" r:id="rId8"/>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9"/>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80" zoomScaleNormal="70" workbookViewId="0"/>
  </sheetViews>
  <sheetFormatPr defaultColWidth="8.88671875" defaultRowHeight="15"/>
  <cols>
    <col min="1" max="1" width="44.77734375" style="1975" customWidth="1"/>
    <col min="2" max="2" width="13.77734375" style="1975" customWidth="1"/>
    <col min="3" max="3" width="1.77734375" style="1975" customWidth="1"/>
    <col min="4" max="4" width="13.77734375" style="1975" customWidth="1"/>
    <col min="5" max="5" width="2.44140625" style="1975" customWidth="1"/>
    <col min="6" max="6" width="13.77734375" style="1975" customWidth="1"/>
    <col min="7" max="7" width="1.6640625" style="1975" customWidth="1"/>
    <col min="8" max="8" width="13.77734375" style="1975" customWidth="1"/>
    <col min="9" max="9" width="1.77734375" style="1975" customWidth="1"/>
    <col min="10" max="10" width="13.77734375" style="1975" customWidth="1"/>
    <col min="11" max="11" width="1.6640625" style="1975" customWidth="1"/>
    <col min="12" max="12" width="13.77734375" style="1975" customWidth="1"/>
    <col min="13" max="13" width="0.5546875" style="1975" customWidth="1"/>
    <col min="14" max="14" width="13.77734375" style="1975" customWidth="1"/>
    <col min="15" max="15" width="2.5546875" style="1975" customWidth="1"/>
    <col min="16" max="16" width="13.77734375" style="1975" customWidth="1"/>
    <col min="17" max="17" width="1.5546875" style="1975" customWidth="1"/>
    <col min="18" max="18" width="2.109375" style="2280" customWidth="1"/>
    <col min="19" max="19" width="9.6640625" style="1975" customWidth="1"/>
    <col min="20" max="20" width="2.44140625" style="2280" customWidth="1"/>
    <col min="21" max="16384" width="8.88671875" style="1975"/>
  </cols>
  <sheetData>
    <row r="1" spans="1:252">
      <c r="A1" s="1227" t="s">
        <v>1322</v>
      </c>
    </row>
    <row r="2" spans="1:252">
      <c r="A2" s="1875"/>
    </row>
    <row r="3" spans="1:252" s="2281" customFormat="1" ht="15.75">
      <c r="A3" s="310" t="s">
        <v>0</v>
      </c>
      <c r="B3" s="310"/>
      <c r="C3" s="310"/>
      <c r="D3" s="310"/>
      <c r="E3" s="310"/>
      <c r="F3" s="1975"/>
      <c r="G3" s="1975"/>
      <c r="H3" s="310"/>
      <c r="I3" s="310"/>
      <c r="J3" s="310"/>
      <c r="K3" s="310"/>
      <c r="L3" s="310"/>
      <c r="M3" s="310"/>
      <c r="N3" s="809"/>
      <c r="P3" s="2282"/>
      <c r="Q3" s="2283"/>
      <c r="R3" s="2284"/>
      <c r="S3" s="1875"/>
      <c r="T3" s="2284"/>
      <c r="U3" s="2254" t="s">
        <v>82</v>
      </c>
      <c r="V3" s="1875"/>
      <c r="W3" s="1975"/>
      <c r="X3" s="1975"/>
      <c r="Y3" s="1975"/>
      <c r="Z3" s="1975"/>
      <c r="AA3" s="1975"/>
      <c r="AB3" s="1975"/>
      <c r="AC3" s="1975"/>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5"/>
      <c r="BR3" s="1975"/>
      <c r="BS3" s="1975"/>
      <c r="BT3" s="1975"/>
      <c r="BU3" s="1975"/>
      <c r="BV3" s="1975"/>
      <c r="BW3" s="1975"/>
      <c r="BX3" s="1975"/>
      <c r="BY3" s="1975"/>
      <c r="BZ3" s="1975"/>
      <c r="CA3" s="1975"/>
      <c r="CB3" s="1975"/>
      <c r="CC3" s="1975"/>
      <c r="CD3" s="1975"/>
      <c r="CE3" s="1975"/>
      <c r="CF3" s="1975"/>
      <c r="CG3" s="1975"/>
      <c r="CH3" s="1975"/>
      <c r="CI3" s="1975"/>
      <c r="CJ3" s="1975"/>
      <c r="CK3" s="1975"/>
      <c r="CL3" s="1975"/>
      <c r="CM3" s="1975"/>
      <c r="CN3" s="1975"/>
      <c r="CO3" s="1975"/>
      <c r="CP3" s="1975"/>
      <c r="CQ3" s="1975"/>
      <c r="CR3" s="1975"/>
      <c r="CS3" s="1975"/>
      <c r="CT3" s="1975"/>
      <c r="CU3" s="1975"/>
      <c r="CV3" s="1975"/>
      <c r="CW3" s="1975"/>
      <c r="CX3" s="1975"/>
      <c r="CY3" s="1975"/>
      <c r="CZ3" s="1975"/>
      <c r="DA3" s="1975"/>
      <c r="DB3" s="1975"/>
      <c r="DC3" s="1975"/>
      <c r="DD3" s="1975"/>
      <c r="DE3" s="1975"/>
      <c r="DF3" s="1975"/>
      <c r="DG3" s="1975"/>
      <c r="DH3" s="1975"/>
      <c r="DI3" s="1975"/>
      <c r="DJ3" s="1975"/>
      <c r="DK3" s="1975"/>
      <c r="DL3" s="1975"/>
      <c r="DM3" s="1975"/>
      <c r="DN3" s="1975"/>
      <c r="DO3" s="1975"/>
      <c r="DP3" s="1975"/>
      <c r="DQ3" s="1975"/>
      <c r="DR3" s="1975"/>
      <c r="DS3" s="1975"/>
      <c r="DT3" s="1975"/>
      <c r="DU3" s="1975"/>
      <c r="DV3" s="1975"/>
      <c r="DW3" s="1975"/>
      <c r="DX3" s="1975"/>
      <c r="DY3" s="1975"/>
      <c r="DZ3" s="1975"/>
      <c r="EA3" s="1975"/>
      <c r="EB3" s="1975"/>
      <c r="EC3" s="1975"/>
      <c r="ED3" s="1975"/>
      <c r="EE3" s="1975"/>
      <c r="EF3" s="1975"/>
      <c r="EG3" s="1975"/>
      <c r="EH3" s="1975"/>
      <c r="EI3" s="1975"/>
      <c r="EJ3" s="1975"/>
      <c r="EK3" s="1975"/>
      <c r="EL3" s="1975"/>
      <c r="EM3" s="1975"/>
      <c r="EN3" s="1975"/>
      <c r="EO3" s="1975"/>
      <c r="EP3" s="1975"/>
      <c r="EQ3" s="1975"/>
      <c r="ER3" s="1975"/>
      <c r="ES3" s="1975"/>
      <c r="ET3" s="1975"/>
      <c r="EU3" s="1975"/>
      <c r="EV3" s="1975"/>
      <c r="EW3" s="1975"/>
      <c r="EX3" s="1975"/>
      <c r="EY3" s="1975"/>
      <c r="EZ3" s="1975"/>
      <c r="FA3" s="1975"/>
      <c r="FB3" s="1975"/>
      <c r="FC3" s="1975"/>
      <c r="FD3" s="1975"/>
      <c r="FE3" s="1975"/>
      <c r="FF3" s="1975"/>
      <c r="FG3" s="1975"/>
      <c r="FH3" s="1975"/>
      <c r="FI3" s="1975"/>
      <c r="FJ3" s="1975"/>
      <c r="FK3" s="1975"/>
      <c r="FL3" s="1975"/>
      <c r="FM3" s="1975"/>
      <c r="FN3" s="1975"/>
      <c r="FO3" s="1975"/>
      <c r="FP3" s="1975"/>
      <c r="FQ3" s="1975"/>
      <c r="FR3" s="1975"/>
      <c r="FS3" s="1975"/>
      <c r="FT3" s="1975"/>
      <c r="FU3" s="1975"/>
      <c r="FV3" s="1975"/>
      <c r="FW3" s="1975"/>
      <c r="FX3" s="1975"/>
      <c r="FY3" s="1975"/>
      <c r="FZ3" s="1975"/>
      <c r="GA3" s="1975"/>
      <c r="GB3" s="1975"/>
      <c r="GC3" s="1975"/>
      <c r="GD3" s="1975"/>
      <c r="GE3" s="1975"/>
      <c r="GF3" s="1975"/>
      <c r="GG3" s="1975"/>
      <c r="GH3" s="1975"/>
      <c r="GI3" s="1975"/>
      <c r="GJ3" s="1975"/>
      <c r="GK3" s="1975"/>
      <c r="GL3" s="1975"/>
      <c r="GM3" s="1975"/>
      <c r="GN3" s="1975"/>
      <c r="GO3" s="1975"/>
      <c r="GP3" s="1975"/>
      <c r="GQ3" s="1975"/>
      <c r="GR3" s="1975"/>
      <c r="GS3" s="1975"/>
      <c r="GT3" s="1975"/>
      <c r="GU3" s="1975"/>
      <c r="GV3" s="1975"/>
      <c r="GW3" s="1975"/>
      <c r="GX3" s="1975"/>
      <c r="GY3" s="1975"/>
      <c r="GZ3" s="1975"/>
      <c r="HA3" s="1975"/>
      <c r="HB3" s="1975"/>
      <c r="HC3" s="1975"/>
      <c r="HD3" s="1975"/>
      <c r="HE3" s="1975"/>
      <c r="HF3" s="1975"/>
      <c r="HG3" s="1975"/>
      <c r="HH3" s="1975"/>
      <c r="HI3" s="1975"/>
      <c r="HJ3" s="1975"/>
      <c r="HK3" s="1975"/>
      <c r="HL3" s="1975"/>
      <c r="HM3" s="1975"/>
      <c r="HN3" s="1975"/>
      <c r="HO3" s="1975"/>
      <c r="HP3" s="1975"/>
      <c r="HQ3" s="1975"/>
      <c r="HR3" s="1975"/>
      <c r="HS3" s="1975"/>
      <c r="HT3" s="1975"/>
      <c r="HU3" s="1975"/>
      <c r="HV3" s="1975"/>
      <c r="HW3" s="1975"/>
      <c r="HX3" s="1975"/>
      <c r="HY3" s="1975"/>
      <c r="HZ3" s="1975"/>
      <c r="IA3" s="1975"/>
      <c r="IB3" s="1975"/>
      <c r="IC3" s="1975"/>
      <c r="ID3" s="1975"/>
      <c r="IE3" s="1975"/>
      <c r="IF3" s="1975"/>
      <c r="IG3" s="1975"/>
      <c r="IH3" s="1975"/>
      <c r="II3" s="1975"/>
      <c r="IJ3" s="1975"/>
      <c r="IK3" s="1975"/>
      <c r="IL3" s="1975"/>
      <c r="IM3" s="1975"/>
      <c r="IN3" s="1975"/>
      <c r="IO3" s="1975"/>
      <c r="IP3" s="1975"/>
      <c r="IQ3" s="1975"/>
      <c r="IR3" s="1975"/>
    </row>
    <row r="4" spans="1:252" s="2281" customFormat="1" ht="15.75">
      <c r="A4" s="310" t="s">
        <v>1204</v>
      </c>
      <c r="B4" s="310"/>
      <c r="C4" s="310"/>
      <c r="D4" s="310"/>
      <c r="E4" s="310"/>
      <c r="F4" s="1975"/>
      <c r="G4" s="1975"/>
      <c r="H4" s="310"/>
      <c r="I4" s="310"/>
      <c r="J4" s="310"/>
      <c r="K4" s="310"/>
      <c r="L4" s="310"/>
      <c r="M4" s="310"/>
      <c r="N4" s="310"/>
      <c r="O4" s="310"/>
      <c r="P4" s="310"/>
      <c r="Q4" s="2283"/>
      <c r="R4" s="2284"/>
      <c r="S4" s="1875"/>
      <c r="T4" s="2284"/>
      <c r="U4" s="1875"/>
      <c r="V4" s="1875"/>
      <c r="W4" s="1975"/>
      <c r="X4" s="1975"/>
      <c r="Y4" s="1975"/>
      <c r="Z4" s="1975"/>
      <c r="AA4" s="1975"/>
      <c r="AB4" s="1975"/>
      <c r="AC4" s="1975"/>
      <c r="AD4" s="1975"/>
      <c r="AE4" s="1975"/>
      <c r="AF4" s="1975"/>
      <c r="AG4" s="1975"/>
      <c r="AH4" s="1975"/>
      <c r="AI4" s="1975"/>
      <c r="AJ4" s="1975"/>
      <c r="AK4" s="1975"/>
      <c r="AL4" s="1975"/>
      <c r="AM4" s="1975"/>
      <c r="AN4" s="1975"/>
      <c r="AO4" s="1975"/>
      <c r="AP4" s="1975"/>
      <c r="AQ4" s="1975"/>
      <c r="AR4" s="1975"/>
      <c r="AS4" s="1975"/>
      <c r="AT4" s="1975"/>
      <c r="AU4" s="1975"/>
      <c r="AV4" s="1975"/>
      <c r="AW4" s="1975"/>
      <c r="AX4" s="1975"/>
      <c r="AY4" s="1975"/>
      <c r="AZ4" s="1975"/>
      <c r="BA4" s="1975"/>
      <c r="BB4" s="1975"/>
      <c r="BC4" s="1975"/>
      <c r="BD4" s="1975"/>
      <c r="BE4" s="1975"/>
      <c r="BF4" s="1975"/>
      <c r="BG4" s="1975"/>
      <c r="BH4" s="1975"/>
      <c r="BI4" s="1975"/>
      <c r="BJ4" s="1975"/>
      <c r="BK4" s="1975"/>
      <c r="BL4" s="1975"/>
      <c r="BM4" s="1975"/>
      <c r="BN4" s="1975"/>
      <c r="BO4" s="1975"/>
      <c r="BP4" s="1975"/>
      <c r="BQ4" s="1975"/>
      <c r="BR4" s="1975"/>
      <c r="BS4" s="1975"/>
      <c r="BT4" s="1975"/>
      <c r="BU4" s="1975"/>
      <c r="BV4" s="1975"/>
      <c r="BW4" s="1975"/>
      <c r="BX4" s="1975"/>
      <c r="BY4" s="1975"/>
      <c r="BZ4" s="1975"/>
      <c r="CA4" s="1975"/>
      <c r="CB4" s="1975"/>
      <c r="CC4" s="1975"/>
      <c r="CD4" s="1975"/>
      <c r="CE4" s="1975"/>
      <c r="CF4" s="1975"/>
      <c r="CG4" s="1975"/>
      <c r="CH4" s="1975"/>
      <c r="CI4" s="1975"/>
      <c r="CJ4" s="1975"/>
      <c r="CK4" s="1975"/>
      <c r="CL4" s="1975"/>
      <c r="CM4" s="1975"/>
      <c r="CN4" s="1975"/>
      <c r="CO4" s="1975"/>
      <c r="CP4" s="1975"/>
      <c r="CQ4" s="1975"/>
      <c r="CR4" s="1975"/>
      <c r="CS4" s="1975"/>
      <c r="CT4" s="1975"/>
      <c r="CU4" s="1975"/>
      <c r="CV4" s="1975"/>
      <c r="CW4" s="1975"/>
      <c r="CX4" s="1975"/>
      <c r="CY4" s="1975"/>
      <c r="CZ4" s="1975"/>
      <c r="DA4" s="1975"/>
      <c r="DB4" s="1975"/>
      <c r="DC4" s="1975"/>
      <c r="DD4" s="1975"/>
      <c r="DE4" s="1975"/>
      <c r="DF4" s="1975"/>
      <c r="DG4" s="1975"/>
      <c r="DH4" s="1975"/>
      <c r="DI4" s="1975"/>
      <c r="DJ4" s="1975"/>
      <c r="DK4" s="1975"/>
      <c r="DL4" s="1975"/>
      <c r="DM4" s="1975"/>
      <c r="DN4" s="1975"/>
      <c r="DO4" s="1975"/>
      <c r="DP4" s="1975"/>
      <c r="DQ4" s="1975"/>
      <c r="DR4" s="1975"/>
      <c r="DS4" s="1975"/>
      <c r="DT4" s="1975"/>
      <c r="DU4" s="1975"/>
      <c r="DV4" s="1975"/>
      <c r="DW4" s="1975"/>
      <c r="DX4" s="1975"/>
      <c r="DY4" s="1975"/>
      <c r="DZ4" s="1975"/>
      <c r="EA4" s="1975"/>
      <c r="EB4" s="1975"/>
      <c r="EC4" s="1975"/>
      <c r="ED4" s="1975"/>
      <c r="EE4" s="1975"/>
      <c r="EF4" s="1975"/>
      <c r="EG4" s="1975"/>
      <c r="EH4" s="1975"/>
      <c r="EI4" s="1975"/>
      <c r="EJ4" s="1975"/>
      <c r="EK4" s="1975"/>
      <c r="EL4" s="1975"/>
      <c r="EM4" s="1975"/>
      <c r="EN4" s="1975"/>
      <c r="EO4" s="1975"/>
      <c r="EP4" s="1975"/>
      <c r="EQ4" s="1975"/>
      <c r="ER4" s="1975"/>
      <c r="ES4" s="1975"/>
      <c r="ET4" s="1975"/>
      <c r="EU4" s="1975"/>
      <c r="EV4" s="1975"/>
      <c r="EW4" s="1975"/>
      <c r="EX4" s="1975"/>
      <c r="EY4" s="1975"/>
      <c r="EZ4" s="1975"/>
      <c r="FA4" s="1975"/>
      <c r="FB4" s="1975"/>
      <c r="FC4" s="1975"/>
      <c r="FD4" s="1975"/>
      <c r="FE4" s="1975"/>
      <c r="FF4" s="1975"/>
      <c r="FG4" s="1975"/>
      <c r="FH4" s="1975"/>
      <c r="FI4" s="1975"/>
      <c r="FJ4" s="1975"/>
      <c r="FK4" s="1975"/>
      <c r="FL4" s="1975"/>
      <c r="FM4" s="1975"/>
      <c r="FN4" s="1975"/>
      <c r="FO4" s="1975"/>
      <c r="FP4" s="1975"/>
      <c r="FQ4" s="1975"/>
      <c r="FR4" s="1975"/>
      <c r="FS4" s="1975"/>
      <c r="FT4" s="1975"/>
      <c r="FU4" s="1975"/>
      <c r="FV4" s="1975"/>
      <c r="FW4" s="1975"/>
      <c r="FX4" s="1975"/>
      <c r="FY4" s="1975"/>
      <c r="FZ4" s="1975"/>
      <c r="GA4" s="1975"/>
      <c r="GB4" s="1975"/>
      <c r="GC4" s="1975"/>
      <c r="GD4" s="1975"/>
      <c r="GE4" s="1975"/>
      <c r="GF4" s="1975"/>
      <c r="GG4" s="1975"/>
      <c r="GH4" s="1975"/>
      <c r="GI4" s="1975"/>
      <c r="GJ4" s="1975"/>
      <c r="GK4" s="1975"/>
      <c r="GL4" s="1975"/>
      <c r="GM4" s="1975"/>
      <c r="GN4" s="1975"/>
      <c r="GO4" s="1975"/>
      <c r="GP4" s="1975"/>
      <c r="GQ4" s="1975"/>
      <c r="GR4" s="1975"/>
      <c r="GS4" s="1975"/>
      <c r="GT4" s="1975"/>
      <c r="GU4" s="1975"/>
      <c r="GV4" s="1975"/>
      <c r="GW4" s="1975"/>
      <c r="GX4" s="1975"/>
      <c r="GY4" s="1975"/>
      <c r="GZ4" s="1975"/>
      <c r="HA4" s="1975"/>
      <c r="HB4" s="1975"/>
      <c r="HC4" s="1975"/>
      <c r="HD4" s="1975"/>
      <c r="HE4" s="1975"/>
      <c r="HF4" s="1975"/>
      <c r="HG4" s="1975"/>
      <c r="HH4" s="1975"/>
      <c r="HI4" s="1975"/>
      <c r="HJ4" s="1975"/>
      <c r="HK4" s="1975"/>
      <c r="HL4" s="1975"/>
      <c r="HM4" s="1975"/>
      <c r="HN4" s="1975"/>
      <c r="HO4" s="1975"/>
      <c r="HP4" s="1975"/>
      <c r="HQ4" s="1975"/>
      <c r="HR4" s="1975"/>
      <c r="HS4" s="1975"/>
      <c r="HT4" s="1975"/>
      <c r="HU4" s="1975"/>
      <c r="HV4" s="1975"/>
      <c r="HW4" s="1975"/>
      <c r="HX4" s="1975"/>
      <c r="HY4" s="1975"/>
      <c r="HZ4" s="1975"/>
      <c r="IA4" s="1975"/>
      <c r="IB4" s="1975"/>
      <c r="IC4" s="1975"/>
      <c r="ID4" s="1975"/>
      <c r="IE4" s="1975"/>
      <c r="IF4" s="1975"/>
      <c r="IG4" s="1975"/>
      <c r="IH4" s="1975"/>
      <c r="II4" s="1975"/>
      <c r="IJ4" s="1975"/>
      <c r="IK4" s="1975"/>
      <c r="IL4" s="1975"/>
      <c r="IM4" s="1975"/>
      <c r="IN4" s="1975"/>
      <c r="IO4" s="1975"/>
      <c r="IP4" s="1975"/>
      <c r="IQ4" s="1975"/>
      <c r="IR4" s="1975"/>
    </row>
    <row r="5" spans="1:252" s="2281" customFormat="1" ht="15.75">
      <c r="A5" s="495" t="s">
        <v>1205</v>
      </c>
      <c r="B5" s="310"/>
      <c r="C5" s="310"/>
      <c r="D5" s="310"/>
      <c r="E5" s="310"/>
      <c r="F5" s="1975"/>
      <c r="G5" s="1975"/>
      <c r="H5" s="310"/>
      <c r="I5" s="310"/>
      <c r="J5" s="310"/>
      <c r="K5" s="310"/>
      <c r="L5" s="310"/>
      <c r="M5" s="310"/>
      <c r="N5" s="310"/>
      <c r="O5" s="310"/>
      <c r="P5" s="310" t="s">
        <v>16</v>
      </c>
      <c r="Q5" s="2283"/>
      <c r="R5" s="2284"/>
      <c r="S5" s="1875"/>
      <c r="T5" s="2284"/>
      <c r="U5" s="1875"/>
      <c r="V5" s="18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c r="AT5" s="1975"/>
      <c r="AU5" s="1975"/>
      <c r="AV5" s="1975"/>
      <c r="AW5" s="1975"/>
      <c r="AX5" s="1975"/>
      <c r="AY5" s="1975"/>
      <c r="AZ5" s="1975"/>
      <c r="BA5" s="1975"/>
      <c r="BB5" s="1975"/>
      <c r="BC5" s="1975"/>
      <c r="BD5" s="1975"/>
      <c r="BE5" s="1975"/>
      <c r="BF5" s="1975"/>
      <c r="BG5" s="1975"/>
      <c r="BH5" s="1975"/>
      <c r="BI5" s="1975"/>
      <c r="BJ5" s="1975"/>
      <c r="BK5" s="1975"/>
      <c r="BL5" s="1975"/>
      <c r="BM5" s="1975"/>
      <c r="BN5" s="1975"/>
      <c r="BO5" s="1975"/>
      <c r="BP5" s="1975"/>
      <c r="BQ5" s="1975"/>
      <c r="BR5" s="1975"/>
      <c r="BS5" s="1975"/>
      <c r="BT5" s="1975"/>
      <c r="BU5" s="1975"/>
      <c r="BV5" s="1975"/>
      <c r="BW5" s="1975"/>
      <c r="BX5" s="1975"/>
      <c r="BY5" s="1975"/>
      <c r="BZ5" s="1975"/>
      <c r="CA5" s="1975"/>
      <c r="CB5" s="1975"/>
      <c r="CC5" s="1975"/>
      <c r="CD5" s="1975"/>
      <c r="CE5" s="1975"/>
      <c r="CF5" s="1975"/>
      <c r="CG5" s="1975"/>
      <c r="CH5" s="1975"/>
      <c r="CI5" s="1975"/>
      <c r="CJ5" s="1975"/>
      <c r="CK5" s="1975"/>
      <c r="CL5" s="1975"/>
      <c r="CM5" s="1975"/>
      <c r="CN5" s="1975"/>
      <c r="CO5" s="1975"/>
      <c r="CP5" s="1975"/>
      <c r="CQ5" s="1975"/>
      <c r="CR5" s="1975"/>
      <c r="CS5" s="1975"/>
      <c r="CT5" s="1975"/>
      <c r="CU5" s="1975"/>
      <c r="CV5" s="1975"/>
      <c r="CW5" s="1975"/>
      <c r="CX5" s="1975"/>
      <c r="CY5" s="1975"/>
      <c r="CZ5" s="1975"/>
      <c r="DA5" s="1975"/>
      <c r="DB5" s="1975"/>
      <c r="DC5" s="1975"/>
      <c r="DD5" s="1975"/>
      <c r="DE5" s="1975"/>
      <c r="DF5" s="1975"/>
      <c r="DG5" s="1975"/>
      <c r="DH5" s="1975"/>
      <c r="DI5" s="1975"/>
      <c r="DJ5" s="1975"/>
      <c r="DK5" s="1975"/>
      <c r="DL5" s="1975"/>
      <c r="DM5" s="1975"/>
      <c r="DN5" s="1975"/>
      <c r="DO5" s="1975"/>
      <c r="DP5" s="1975"/>
      <c r="DQ5" s="1975"/>
      <c r="DR5" s="1975"/>
      <c r="DS5" s="1975"/>
      <c r="DT5" s="1975"/>
      <c r="DU5" s="1975"/>
      <c r="DV5" s="1975"/>
      <c r="DW5" s="1975"/>
      <c r="DX5" s="1975"/>
      <c r="DY5" s="1975"/>
      <c r="DZ5" s="1975"/>
      <c r="EA5" s="1975"/>
      <c r="EB5" s="1975"/>
      <c r="EC5" s="1975"/>
      <c r="ED5" s="1975"/>
      <c r="EE5" s="1975"/>
      <c r="EF5" s="1975"/>
      <c r="EG5" s="1975"/>
      <c r="EH5" s="1975"/>
      <c r="EI5" s="1975"/>
      <c r="EJ5" s="1975"/>
      <c r="EK5" s="1975"/>
      <c r="EL5" s="1975"/>
      <c r="EM5" s="1975"/>
      <c r="EN5" s="1975"/>
      <c r="EO5" s="1975"/>
      <c r="EP5" s="1975"/>
      <c r="EQ5" s="1975"/>
      <c r="ER5" s="1975"/>
      <c r="ES5" s="1975"/>
      <c r="ET5" s="1975"/>
      <c r="EU5" s="1975"/>
      <c r="EV5" s="1975"/>
      <c r="EW5" s="1975"/>
      <c r="EX5" s="1975"/>
      <c r="EY5" s="1975"/>
      <c r="EZ5" s="1975"/>
      <c r="FA5" s="1975"/>
      <c r="FB5" s="1975"/>
      <c r="FC5" s="1975"/>
      <c r="FD5" s="1975"/>
      <c r="FE5" s="1975"/>
      <c r="FF5" s="1975"/>
      <c r="FG5" s="1975"/>
      <c r="FH5" s="1975"/>
      <c r="FI5" s="1975"/>
      <c r="FJ5" s="1975"/>
      <c r="FK5" s="1975"/>
      <c r="FL5" s="1975"/>
      <c r="FM5" s="1975"/>
      <c r="FN5" s="1975"/>
      <c r="FO5" s="1975"/>
      <c r="FP5" s="1975"/>
      <c r="FQ5" s="1975"/>
      <c r="FR5" s="1975"/>
      <c r="FS5" s="1975"/>
      <c r="FT5" s="1975"/>
      <c r="FU5" s="1975"/>
      <c r="FV5" s="1975"/>
      <c r="FW5" s="1975"/>
      <c r="FX5" s="1975"/>
      <c r="FY5" s="1975"/>
      <c r="FZ5" s="1975"/>
      <c r="GA5" s="1975"/>
      <c r="GB5" s="1975"/>
      <c r="GC5" s="1975"/>
      <c r="GD5" s="1975"/>
      <c r="GE5" s="1975"/>
      <c r="GF5" s="1975"/>
      <c r="GG5" s="1975"/>
      <c r="GH5" s="1975"/>
      <c r="GI5" s="1975"/>
      <c r="GJ5" s="1975"/>
      <c r="GK5" s="1975"/>
      <c r="GL5" s="1975"/>
      <c r="GM5" s="1975"/>
      <c r="GN5" s="1975"/>
      <c r="GO5" s="1975"/>
      <c r="GP5" s="1975"/>
      <c r="GQ5" s="1975"/>
      <c r="GR5" s="1975"/>
      <c r="GS5" s="1975"/>
      <c r="GT5" s="1975"/>
      <c r="GU5" s="1975"/>
      <c r="GV5" s="1975"/>
      <c r="GW5" s="1975"/>
      <c r="GX5" s="1975"/>
      <c r="GY5" s="1975"/>
      <c r="GZ5" s="1975"/>
      <c r="HA5" s="1975"/>
      <c r="HB5" s="1975"/>
      <c r="HC5" s="1975"/>
      <c r="HD5" s="1975"/>
      <c r="HE5" s="1975"/>
      <c r="HF5" s="1975"/>
      <c r="HG5" s="1975"/>
      <c r="HH5" s="1975"/>
      <c r="HI5" s="1975"/>
      <c r="HJ5" s="1975"/>
      <c r="HK5" s="1975"/>
      <c r="HL5" s="1975"/>
      <c r="HM5" s="1975"/>
      <c r="HN5" s="1975"/>
      <c r="HO5" s="1975"/>
      <c r="HP5" s="1975"/>
      <c r="HQ5" s="1975"/>
      <c r="HR5" s="1975"/>
      <c r="HS5" s="1975"/>
      <c r="HT5" s="1975"/>
      <c r="HU5" s="1975"/>
      <c r="HV5" s="1975"/>
      <c r="HW5" s="1975"/>
      <c r="HX5" s="1975"/>
      <c r="HY5" s="1975"/>
      <c r="HZ5" s="1975"/>
      <c r="IA5" s="1975"/>
      <c r="IB5" s="1975"/>
      <c r="IC5" s="1975"/>
      <c r="ID5" s="1975"/>
      <c r="IE5" s="1975"/>
      <c r="IF5" s="1975"/>
      <c r="IG5" s="1975"/>
      <c r="IH5" s="1975"/>
      <c r="II5" s="1975"/>
      <c r="IJ5" s="1975"/>
      <c r="IK5" s="1975"/>
      <c r="IL5" s="1975"/>
      <c r="IM5" s="1975"/>
      <c r="IN5" s="1975"/>
      <c r="IO5" s="1975"/>
      <c r="IP5" s="1975"/>
      <c r="IQ5" s="1975"/>
      <c r="IR5" s="1975"/>
    </row>
    <row r="6" spans="1:252" s="2281" customFormat="1" ht="15.75">
      <c r="A6" s="310" t="s">
        <v>1198</v>
      </c>
      <c r="B6" s="310"/>
      <c r="C6" s="310"/>
      <c r="D6" s="310"/>
      <c r="E6" s="310"/>
      <c r="F6" s="1975"/>
      <c r="G6" s="1975"/>
      <c r="H6" s="310"/>
      <c r="I6" s="310"/>
      <c r="J6" s="310"/>
      <c r="K6" s="310"/>
      <c r="L6" s="310"/>
      <c r="M6" s="310"/>
      <c r="N6" s="310"/>
      <c r="O6" s="310"/>
      <c r="P6" s="310"/>
      <c r="Q6" s="2283"/>
      <c r="R6" s="2284"/>
      <c r="S6" s="1875"/>
      <c r="T6" s="2284"/>
      <c r="U6" s="1875"/>
      <c r="V6" s="18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c r="AT6" s="1975"/>
      <c r="AU6" s="1975"/>
      <c r="AV6" s="1975"/>
      <c r="AW6" s="1975"/>
      <c r="AX6" s="1975"/>
      <c r="AY6" s="1975"/>
      <c r="AZ6" s="1975"/>
      <c r="BA6" s="1975"/>
      <c r="BB6" s="1975"/>
      <c r="BC6" s="1975"/>
      <c r="BD6" s="1975"/>
      <c r="BE6" s="1975"/>
      <c r="BF6" s="1975"/>
      <c r="BG6" s="1975"/>
      <c r="BH6" s="1975"/>
      <c r="BI6" s="1975"/>
      <c r="BJ6" s="1975"/>
      <c r="BK6" s="1975"/>
      <c r="BL6" s="1975"/>
      <c r="BM6" s="1975"/>
      <c r="BN6" s="1975"/>
      <c r="BO6" s="1975"/>
      <c r="BP6" s="1975"/>
      <c r="BQ6" s="1975"/>
      <c r="BR6" s="1975"/>
      <c r="BS6" s="1975"/>
      <c r="BT6" s="1975"/>
      <c r="BU6" s="1975"/>
      <c r="BV6" s="1975"/>
      <c r="BW6" s="1975"/>
      <c r="BX6" s="1975"/>
      <c r="BY6" s="1975"/>
      <c r="BZ6" s="1975"/>
      <c r="CA6" s="1975"/>
      <c r="CB6" s="1975"/>
      <c r="CC6" s="1975"/>
      <c r="CD6" s="1975"/>
      <c r="CE6" s="1975"/>
      <c r="CF6" s="1975"/>
      <c r="CG6" s="1975"/>
      <c r="CH6" s="1975"/>
      <c r="CI6" s="1975"/>
      <c r="CJ6" s="1975"/>
      <c r="CK6" s="1975"/>
      <c r="CL6" s="1975"/>
      <c r="CM6" s="1975"/>
      <c r="CN6" s="1975"/>
      <c r="CO6" s="1975"/>
      <c r="CP6" s="1975"/>
      <c r="CQ6" s="1975"/>
      <c r="CR6" s="1975"/>
      <c r="CS6" s="1975"/>
      <c r="CT6" s="1975"/>
      <c r="CU6" s="1975"/>
      <c r="CV6" s="1975"/>
      <c r="CW6" s="1975"/>
      <c r="CX6" s="1975"/>
      <c r="CY6" s="1975"/>
      <c r="CZ6" s="1975"/>
      <c r="DA6" s="1975"/>
      <c r="DB6" s="1975"/>
      <c r="DC6" s="1975"/>
      <c r="DD6" s="1975"/>
      <c r="DE6" s="1975"/>
      <c r="DF6" s="1975"/>
      <c r="DG6" s="1975"/>
      <c r="DH6" s="1975"/>
      <c r="DI6" s="1975"/>
      <c r="DJ6" s="1975"/>
      <c r="DK6" s="1975"/>
      <c r="DL6" s="1975"/>
      <c r="DM6" s="1975"/>
      <c r="DN6" s="1975"/>
      <c r="DO6" s="1975"/>
      <c r="DP6" s="1975"/>
      <c r="DQ6" s="1975"/>
      <c r="DR6" s="1975"/>
      <c r="DS6" s="1975"/>
      <c r="DT6" s="1975"/>
      <c r="DU6" s="1975"/>
      <c r="DV6" s="1975"/>
      <c r="DW6" s="1975"/>
      <c r="DX6" s="1975"/>
      <c r="DY6" s="1975"/>
      <c r="DZ6" s="1975"/>
      <c r="EA6" s="1975"/>
      <c r="EB6" s="1975"/>
      <c r="EC6" s="1975"/>
      <c r="ED6" s="1975"/>
      <c r="EE6" s="1975"/>
      <c r="EF6" s="1975"/>
      <c r="EG6" s="1975"/>
      <c r="EH6" s="1975"/>
      <c r="EI6" s="1975"/>
      <c r="EJ6" s="1975"/>
      <c r="EK6" s="1975"/>
      <c r="EL6" s="1975"/>
      <c r="EM6" s="1975"/>
      <c r="EN6" s="1975"/>
      <c r="EO6" s="1975"/>
      <c r="EP6" s="1975"/>
      <c r="EQ6" s="1975"/>
      <c r="ER6" s="1975"/>
      <c r="ES6" s="1975"/>
      <c r="ET6" s="1975"/>
      <c r="EU6" s="1975"/>
      <c r="EV6" s="1975"/>
      <c r="EW6" s="1975"/>
      <c r="EX6" s="1975"/>
      <c r="EY6" s="1975"/>
      <c r="EZ6" s="1975"/>
      <c r="FA6" s="1975"/>
      <c r="FB6" s="1975"/>
      <c r="FC6" s="1975"/>
      <c r="FD6" s="1975"/>
      <c r="FE6" s="1975"/>
      <c r="FF6" s="1975"/>
      <c r="FG6" s="1975"/>
      <c r="FH6" s="1975"/>
      <c r="FI6" s="1975"/>
      <c r="FJ6" s="1975"/>
      <c r="FK6" s="1975"/>
      <c r="FL6" s="1975"/>
      <c r="FM6" s="1975"/>
      <c r="FN6" s="1975"/>
      <c r="FO6" s="1975"/>
      <c r="FP6" s="1975"/>
      <c r="FQ6" s="1975"/>
      <c r="FR6" s="1975"/>
      <c r="FS6" s="1975"/>
      <c r="FT6" s="1975"/>
      <c r="FU6" s="1975"/>
      <c r="FV6" s="1975"/>
      <c r="FW6" s="1975"/>
      <c r="FX6" s="1975"/>
      <c r="FY6" s="1975"/>
      <c r="FZ6" s="1975"/>
      <c r="GA6" s="1975"/>
      <c r="GB6" s="1975"/>
      <c r="GC6" s="1975"/>
      <c r="GD6" s="1975"/>
      <c r="GE6" s="1975"/>
      <c r="GF6" s="1975"/>
      <c r="GG6" s="1975"/>
      <c r="GH6" s="1975"/>
      <c r="GI6" s="1975"/>
      <c r="GJ6" s="1975"/>
      <c r="GK6" s="1975"/>
      <c r="GL6" s="1975"/>
      <c r="GM6" s="1975"/>
      <c r="GN6" s="1975"/>
      <c r="GO6" s="1975"/>
      <c r="GP6" s="1975"/>
      <c r="GQ6" s="1975"/>
      <c r="GR6" s="1975"/>
      <c r="GS6" s="1975"/>
      <c r="GT6" s="1975"/>
      <c r="GU6" s="1975"/>
      <c r="GV6" s="1975"/>
      <c r="GW6" s="1975"/>
      <c r="GX6" s="1975"/>
      <c r="GY6" s="1975"/>
      <c r="GZ6" s="1975"/>
      <c r="HA6" s="1975"/>
      <c r="HB6" s="1975"/>
      <c r="HC6" s="1975"/>
      <c r="HD6" s="1975"/>
      <c r="HE6" s="1975"/>
      <c r="HF6" s="1975"/>
      <c r="HG6" s="1975"/>
      <c r="HH6" s="1975"/>
      <c r="HI6" s="1975"/>
      <c r="HJ6" s="1975"/>
      <c r="HK6" s="1975"/>
      <c r="HL6" s="1975"/>
      <c r="HM6" s="1975"/>
      <c r="HN6" s="1975"/>
      <c r="HO6" s="1975"/>
      <c r="HP6" s="1975"/>
      <c r="HQ6" s="1975"/>
      <c r="HR6" s="1975"/>
      <c r="HS6" s="1975"/>
      <c r="HT6" s="1975"/>
      <c r="HU6" s="1975"/>
      <c r="HV6" s="1975"/>
      <c r="HW6" s="1975"/>
      <c r="HX6" s="1975"/>
      <c r="HY6" s="1975"/>
      <c r="HZ6" s="1975"/>
      <c r="IA6" s="1975"/>
      <c r="IB6" s="1975"/>
      <c r="IC6" s="1975"/>
      <c r="ID6" s="1975"/>
      <c r="IE6" s="1975"/>
      <c r="IF6" s="1975"/>
      <c r="IG6" s="1975"/>
      <c r="IH6" s="1975"/>
      <c r="II6" s="1975"/>
      <c r="IJ6" s="1975"/>
      <c r="IK6" s="1975"/>
      <c r="IL6" s="1975"/>
      <c r="IM6" s="1975"/>
      <c r="IN6" s="1975"/>
      <c r="IO6" s="1975"/>
      <c r="IP6" s="1975"/>
      <c r="IQ6" s="1975"/>
      <c r="IR6" s="1975"/>
    </row>
    <row r="7" spans="1:252" s="2281" customFormat="1" ht="15.75">
      <c r="A7" s="313"/>
      <c r="B7" s="310"/>
      <c r="C7" s="310"/>
      <c r="D7" s="310"/>
      <c r="E7" s="310"/>
      <c r="F7" s="1975"/>
      <c r="G7" s="1975"/>
      <c r="H7" s="310"/>
      <c r="I7" s="310"/>
      <c r="J7" s="310"/>
      <c r="K7" s="310"/>
      <c r="L7" s="310"/>
      <c r="M7" s="310"/>
      <c r="N7" s="310"/>
      <c r="O7" s="310"/>
      <c r="P7" s="310"/>
      <c r="Q7" s="2283"/>
      <c r="R7" s="2284"/>
      <c r="S7" s="1875"/>
      <c r="T7" s="2284"/>
      <c r="U7" s="1875"/>
      <c r="V7" s="18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c r="AT7" s="1975"/>
      <c r="AU7" s="1975"/>
      <c r="AV7" s="1975"/>
      <c r="AW7" s="1975"/>
      <c r="AX7" s="1975"/>
      <c r="AY7" s="1975"/>
      <c r="AZ7" s="1975"/>
      <c r="BA7" s="1975"/>
      <c r="BB7" s="1975"/>
      <c r="BC7" s="1975"/>
      <c r="BD7" s="1975"/>
      <c r="BE7" s="1975"/>
      <c r="BF7" s="1975"/>
      <c r="BG7" s="1975"/>
      <c r="BH7" s="1975"/>
      <c r="BI7" s="1975"/>
      <c r="BJ7" s="1975"/>
      <c r="BK7" s="1975"/>
      <c r="BL7" s="1975"/>
      <c r="BM7" s="1975"/>
      <c r="BN7" s="1975"/>
      <c r="BO7" s="1975"/>
      <c r="BP7" s="1975"/>
      <c r="BQ7" s="1975"/>
      <c r="BR7" s="1975"/>
      <c r="BS7" s="1975"/>
      <c r="BT7" s="1975"/>
      <c r="BU7" s="1975"/>
      <c r="BV7" s="1975"/>
      <c r="BW7" s="1975"/>
      <c r="BX7" s="1975"/>
      <c r="BY7" s="1975"/>
      <c r="BZ7" s="1975"/>
      <c r="CA7" s="1975"/>
      <c r="CB7" s="1975"/>
      <c r="CC7" s="1975"/>
      <c r="CD7" s="1975"/>
      <c r="CE7" s="1975"/>
      <c r="CF7" s="1975"/>
      <c r="CG7" s="1975"/>
      <c r="CH7" s="1975"/>
      <c r="CI7" s="1975"/>
      <c r="CJ7" s="1975"/>
      <c r="CK7" s="1975"/>
      <c r="CL7" s="1975"/>
      <c r="CM7" s="1975"/>
      <c r="CN7" s="1975"/>
      <c r="CO7" s="1975"/>
      <c r="CP7" s="1975"/>
      <c r="CQ7" s="1975"/>
      <c r="CR7" s="1975"/>
      <c r="CS7" s="1975"/>
      <c r="CT7" s="1975"/>
      <c r="CU7" s="1975"/>
      <c r="CV7" s="1975"/>
      <c r="CW7" s="1975"/>
      <c r="CX7" s="1975"/>
      <c r="CY7" s="1975"/>
      <c r="CZ7" s="1975"/>
      <c r="DA7" s="1975"/>
      <c r="DB7" s="1975"/>
      <c r="DC7" s="1975"/>
      <c r="DD7" s="1975"/>
      <c r="DE7" s="1975"/>
      <c r="DF7" s="1975"/>
      <c r="DG7" s="1975"/>
      <c r="DH7" s="1975"/>
      <c r="DI7" s="1975"/>
      <c r="DJ7" s="1975"/>
      <c r="DK7" s="1975"/>
      <c r="DL7" s="1975"/>
      <c r="DM7" s="1975"/>
      <c r="DN7" s="1975"/>
      <c r="DO7" s="1975"/>
      <c r="DP7" s="1975"/>
      <c r="DQ7" s="1975"/>
      <c r="DR7" s="1975"/>
      <c r="DS7" s="1975"/>
      <c r="DT7" s="1975"/>
      <c r="DU7" s="1975"/>
      <c r="DV7" s="1975"/>
      <c r="DW7" s="1975"/>
      <c r="DX7" s="1975"/>
      <c r="DY7" s="1975"/>
      <c r="DZ7" s="1975"/>
      <c r="EA7" s="1975"/>
      <c r="EB7" s="1975"/>
      <c r="EC7" s="1975"/>
      <c r="ED7" s="1975"/>
      <c r="EE7" s="1975"/>
      <c r="EF7" s="1975"/>
      <c r="EG7" s="1975"/>
      <c r="EH7" s="1975"/>
      <c r="EI7" s="1975"/>
      <c r="EJ7" s="1975"/>
      <c r="EK7" s="1975"/>
      <c r="EL7" s="1975"/>
      <c r="EM7" s="1975"/>
      <c r="EN7" s="1975"/>
      <c r="EO7" s="1975"/>
      <c r="EP7" s="1975"/>
      <c r="EQ7" s="1975"/>
      <c r="ER7" s="1975"/>
      <c r="ES7" s="1975"/>
      <c r="ET7" s="1975"/>
      <c r="EU7" s="1975"/>
      <c r="EV7" s="1975"/>
      <c r="EW7" s="1975"/>
      <c r="EX7" s="1975"/>
      <c r="EY7" s="1975"/>
      <c r="EZ7" s="1975"/>
      <c r="FA7" s="1975"/>
      <c r="FB7" s="1975"/>
      <c r="FC7" s="1975"/>
      <c r="FD7" s="1975"/>
      <c r="FE7" s="1975"/>
      <c r="FF7" s="1975"/>
      <c r="FG7" s="1975"/>
      <c r="FH7" s="1975"/>
      <c r="FI7" s="1975"/>
      <c r="FJ7" s="1975"/>
      <c r="FK7" s="1975"/>
      <c r="FL7" s="1975"/>
      <c r="FM7" s="1975"/>
      <c r="FN7" s="1975"/>
      <c r="FO7" s="1975"/>
      <c r="FP7" s="1975"/>
      <c r="FQ7" s="1975"/>
      <c r="FR7" s="1975"/>
      <c r="FS7" s="1975"/>
      <c r="FT7" s="1975"/>
      <c r="FU7" s="1975"/>
      <c r="FV7" s="1975"/>
      <c r="FW7" s="1975"/>
      <c r="FX7" s="1975"/>
      <c r="FY7" s="1975"/>
      <c r="FZ7" s="1975"/>
      <c r="GA7" s="1975"/>
      <c r="GB7" s="1975"/>
      <c r="GC7" s="1975"/>
      <c r="GD7" s="1975"/>
      <c r="GE7" s="1975"/>
      <c r="GF7" s="1975"/>
      <c r="GG7" s="1975"/>
      <c r="GH7" s="1975"/>
      <c r="GI7" s="1975"/>
      <c r="GJ7" s="1975"/>
      <c r="GK7" s="1975"/>
      <c r="GL7" s="1975"/>
      <c r="GM7" s="1975"/>
      <c r="GN7" s="1975"/>
      <c r="GO7" s="1975"/>
      <c r="GP7" s="1975"/>
      <c r="GQ7" s="1975"/>
      <c r="GR7" s="1975"/>
      <c r="GS7" s="1975"/>
      <c r="GT7" s="1975"/>
      <c r="GU7" s="1975"/>
      <c r="GV7" s="1975"/>
      <c r="GW7" s="1975"/>
      <c r="GX7" s="1975"/>
      <c r="GY7" s="1975"/>
      <c r="GZ7" s="1975"/>
      <c r="HA7" s="1975"/>
      <c r="HB7" s="1975"/>
      <c r="HC7" s="1975"/>
      <c r="HD7" s="1975"/>
      <c r="HE7" s="1975"/>
      <c r="HF7" s="1975"/>
      <c r="HG7" s="1975"/>
      <c r="HH7" s="1975"/>
      <c r="HI7" s="1975"/>
      <c r="HJ7" s="1975"/>
      <c r="HK7" s="1975"/>
      <c r="HL7" s="1975"/>
      <c r="HM7" s="1975"/>
      <c r="HN7" s="1975"/>
      <c r="HO7" s="1975"/>
      <c r="HP7" s="1975"/>
      <c r="HQ7" s="1975"/>
      <c r="HR7" s="1975"/>
      <c r="HS7" s="1975"/>
      <c r="HT7" s="1975"/>
      <c r="HU7" s="1975"/>
      <c r="HV7" s="1975"/>
      <c r="HW7" s="1975"/>
      <c r="HX7" s="1975"/>
      <c r="HY7" s="1975"/>
      <c r="HZ7" s="1975"/>
      <c r="IA7" s="1975"/>
      <c r="IB7" s="1975"/>
      <c r="IC7" s="1975"/>
      <c r="ID7" s="1975"/>
      <c r="IE7" s="1975"/>
      <c r="IF7" s="1975"/>
      <c r="IG7" s="1975"/>
      <c r="IH7" s="1975"/>
      <c r="II7" s="1975"/>
      <c r="IJ7" s="1975"/>
      <c r="IK7" s="1975"/>
      <c r="IL7" s="1975"/>
      <c r="IM7" s="1975"/>
      <c r="IN7" s="1975"/>
      <c r="IO7" s="1975"/>
      <c r="IP7" s="1975"/>
      <c r="IQ7" s="1975"/>
      <c r="IR7" s="1975"/>
    </row>
    <row r="8" spans="1:252" s="2281" customFormat="1" ht="15.75">
      <c r="B8" s="310"/>
      <c r="C8" s="310"/>
      <c r="D8" s="310"/>
      <c r="E8" s="310"/>
      <c r="F8" s="1975"/>
      <c r="G8" s="1975"/>
      <c r="H8" s="310"/>
      <c r="I8" s="310"/>
      <c r="J8" s="310"/>
      <c r="K8" s="310"/>
      <c r="L8" s="310"/>
      <c r="M8" s="310"/>
      <c r="N8" s="310"/>
      <c r="O8" s="310"/>
      <c r="P8" s="310"/>
      <c r="Q8" s="2283"/>
      <c r="R8" s="2284"/>
      <c r="S8" s="1875"/>
      <c r="T8" s="2284"/>
      <c r="U8" s="1875"/>
      <c r="V8" s="18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c r="AT8" s="1975"/>
      <c r="AU8" s="1975"/>
      <c r="AV8" s="1975"/>
      <c r="AW8" s="1975"/>
      <c r="AX8" s="1975"/>
      <c r="AY8" s="1975"/>
      <c r="AZ8" s="1975"/>
      <c r="BA8" s="1975"/>
      <c r="BB8" s="1975"/>
      <c r="BC8" s="1975"/>
      <c r="BD8" s="1975"/>
      <c r="BE8" s="1975"/>
      <c r="BF8" s="1975"/>
      <c r="BG8" s="1975"/>
      <c r="BH8" s="1975"/>
      <c r="BI8" s="1975"/>
      <c r="BJ8" s="1975"/>
      <c r="BK8" s="1975"/>
      <c r="BL8" s="1975"/>
      <c r="BM8" s="1975"/>
      <c r="BN8" s="1975"/>
      <c r="BO8" s="1975"/>
      <c r="BP8" s="1975"/>
      <c r="BQ8" s="1975"/>
      <c r="BR8" s="1975"/>
      <c r="BS8" s="1975"/>
      <c r="BT8" s="1975"/>
      <c r="BU8" s="1975"/>
      <c r="BV8" s="1975"/>
      <c r="BW8" s="1975"/>
      <c r="BX8" s="1975"/>
      <c r="BY8" s="1975"/>
      <c r="BZ8" s="1975"/>
      <c r="CA8" s="1975"/>
      <c r="CB8" s="1975"/>
      <c r="CC8" s="1975"/>
      <c r="CD8" s="1975"/>
      <c r="CE8" s="1975"/>
      <c r="CF8" s="1975"/>
      <c r="CG8" s="1975"/>
      <c r="CH8" s="1975"/>
      <c r="CI8" s="1975"/>
      <c r="CJ8" s="1975"/>
      <c r="CK8" s="1975"/>
      <c r="CL8" s="1975"/>
      <c r="CM8" s="1975"/>
      <c r="CN8" s="1975"/>
      <c r="CO8" s="1975"/>
      <c r="CP8" s="1975"/>
      <c r="CQ8" s="1975"/>
      <c r="CR8" s="1975"/>
      <c r="CS8" s="1975"/>
      <c r="CT8" s="1975"/>
      <c r="CU8" s="1975"/>
      <c r="CV8" s="1975"/>
      <c r="CW8" s="1975"/>
      <c r="CX8" s="1975"/>
      <c r="CY8" s="1975"/>
      <c r="CZ8" s="1975"/>
      <c r="DA8" s="1975"/>
      <c r="DB8" s="1975"/>
      <c r="DC8" s="1975"/>
      <c r="DD8" s="1975"/>
      <c r="DE8" s="1975"/>
      <c r="DF8" s="1975"/>
      <c r="DG8" s="1975"/>
      <c r="DH8" s="1975"/>
      <c r="DI8" s="1975"/>
      <c r="DJ8" s="1975"/>
      <c r="DK8" s="1975"/>
      <c r="DL8" s="1975"/>
      <c r="DM8" s="1975"/>
      <c r="DN8" s="1975"/>
      <c r="DO8" s="1975"/>
      <c r="DP8" s="1975"/>
      <c r="DQ8" s="1975"/>
      <c r="DR8" s="1975"/>
      <c r="DS8" s="1975"/>
      <c r="DT8" s="1975"/>
      <c r="DU8" s="1975"/>
      <c r="DV8" s="1975"/>
      <c r="DW8" s="1975"/>
      <c r="DX8" s="1975"/>
      <c r="DY8" s="1975"/>
      <c r="DZ8" s="1975"/>
      <c r="EA8" s="1975"/>
      <c r="EB8" s="1975"/>
      <c r="EC8" s="1975"/>
      <c r="ED8" s="1975"/>
      <c r="EE8" s="1975"/>
      <c r="EF8" s="1975"/>
      <c r="EG8" s="1975"/>
      <c r="EH8" s="1975"/>
      <c r="EI8" s="1975"/>
      <c r="EJ8" s="1975"/>
      <c r="EK8" s="1975"/>
      <c r="EL8" s="1975"/>
      <c r="EM8" s="1975"/>
      <c r="EN8" s="1975"/>
      <c r="EO8" s="1975"/>
      <c r="EP8" s="1975"/>
      <c r="EQ8" s="1975"/>
      <c r="ER8" s="1975"/>
      <c r="ES8" s="1975"/>
      <c r="ET8" s="1975"/>
      <c r="EU8" s="1975"/>
      <c r="EV8" s="1975"/>
      <c r="EW8" s="1975"/>
      <c r="EX8" s="1975"/>
      <c r="EY8" s="1975"/>
      <c r="EZ8" s="1975"/>
      <c r="FA8" s="1975"/>
      <c r="FB8" s="1975"/>
      <c r="FC8" s="1975"/>
      <c r="FD8" s="1975"/>
      <c r="FE8" s="1975"/>
      <c r="FF8" s="1975"/>
      <c r="FG8" s="1975"/>
      <c r="FH8" s="1975"/>
      <c r="FI8" s="1975"/>
      <c r="FJ8" s="1975"/>
      <c r="FK8" s="1975"/>
      <c r="FL8" s="1975"/>
      <c r="FM8" s="1975"/>
      <c r="FN8" s="1975"/>
      <c r="FO8" s="1975"/>
      <c r="FP8" s="1975"/>
      <c r="FQ8" s="1975"/>
      <c r="FR8" s="1975"/>
      <c r="FS8" s="1975"/>
      <c r="FT8" s="1975"/>
      <c r="FU8" s="1975"/>
      <c r="FV8" s="1975"/>
      <c r="FW8" s="1975"/>
      <c r="FX8" s="1975"/>
      <c r="FY8" s="1975"/>
      <c r="FZ8" s="1975"/>
      <c r="GA8" s="1975"/>
      <c r="GB8" s="1975"/>
      <c r="GC8" s="1975"/>
      <c r="GD8" s="1975"/>
      <c r="GE8" s="1975"/>
      <c r="GF8" s="1975"/>
      <c r="GG8" s="1975"/>
      <c r="GH8" s="1975"/>
      <c r="GI8" s="1975"/>
      <c r="GJ8" s="1975"/>
      <c r="GK8" s="1975"/>
      <c r="GL8" s="1975"/>
      <c r="GM8" s="1975"/>
      <c r="GN8" s="1975"/>
      <c r="GO8" s="1975"/>
      <c r="GP8" s="1975"/>
      <c r="GQ8" s="1975"/>
      <c r="GR8" s="1975"/>
      <c r="GS8" s="1975"/>
      <c r="GT8" s="1975"/>
      <c r="GU8" s="1975"/>
      <c r="GV8" s="1975"/>
      <c r="GW8" s="1975"/>
      <c r="GX8" s="1975"/>
      <c r="GY8" s="1975"/>
      <c r="GZ8" s="1975"/>
      <c r="HA8" s="1975"/>
      <c r="HB8" s="1975"/>
      <c r="HC8" s="1975"/>
      <c r="HD8" s="1975"/>
      <c r="HE8" s="1975"/>
      <c r="HF8" s="1975"/>
      <c r="HG8" s="1975"/>
      <c r="HH8" s="1975"/>
      <c r="HI8" s="1975"/>
      <c r="HJ8" s="1975"/>
      <c r="HK8" s="1975"/>
      <c r="HL8" s="1975"/>
      <c r="HM8" s="1975"/>
      <c r="HN8" s="1975"/>
      <c r="HO8" s="1975"/>
      <c r="HP8" s="1975"/>
      <c r="HQ8" s="1975"/>
      <c r="HR8" s="1975"/>
      <c r="HS8" s="1975"/>
      <c r="HT8" s="1975"/>
      <c r="HU8" s="1975"/>
      <c r="HV8" s="1975"/>
      <c r="HW8" s="1975"/>
      <c r="HX8" s="1975"/>
      <c r="HY8" s="1975"/>
      <c r="HZ8" s="1975"/>
      <c r="IA8" s="1975"/>
      <c r="IB8" s="1975"/>
      <c r="IC8" s="1975"/>
      <c r="ID8" s="1975"/>
      <c r="IE8" s="1975"/>
      <c r="IF8" s="1975"/>
      <c r="IG8" s="1975"/>
      <c r="IH8" s="1975"/>
      <c r="II8" s="1975"/>
      <c r="IJ8" s="1975"/>
      <c r="IK8" s="1975"/>
      <c r="IL8" s="1975"/>
      <c r="IM8" s="1975"/>
      <c r="IN8" s="1975"/>
      <c r="IO8" s="1975"/>
      <c r="IP8" s="1975"/>
      <c r="IQ8" s="1975"/>
      <c r="IR8" s="1975"/>
    </row>
    <row r="9" spans="1:252" s="2281" customFormat="1" ht="8.1" customHeight="1">
      <c r="A9" s="2283"/>
      <c r="B9" s="310"/>
      <c r="C9" s="310"/>
      <c r="D9" s="310"/>
      <c r="E9" s="310"/>
      <c r="F9" s="310"/>
      <c r="G9" s="1975"/>
      <c r="H9" s="310"/>
      <c r="I9" s="310"/>
      <c r="J9" s="310"/>
      <c r="K9" s="310"/>
      <c r="L9" s="310"/>
      <c r="M9" s="310"/>
      <c r="N9" s="310"/>
      <c r="O9" s="310"/>
      <c r="P9" s="310"/>
      <c r="Q9" s="2283"/>
      <c r="R9" s="2285"/>
      <c r="S9" s="2283"/>
      <c r="T9" s="2280"/>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c r="AT9" s="1975"/>
      <c r="AU9" s="1975"/>
      <c r="AV9" s="1975"/>
      <c r="AW9" s="1975"/>
      <c r="AX9" s="1975"/>
      <c r="AY9" s="1975"/>
      <c r="AZ9" s="1975"/>
      <c r="BA9" s="1975"/>
      <c r="BB9" s="1975"/>
      <c r="BC9" s="1975"/>
      <c r="BD9" s="1975"/>
      <c r="BE9" s="1975"/>
      <c r="BF9" s="1975"/>
      <c r="BG9" s="1975"/>
      <c r="BH9" s="1975"/>
      <c r="BI9" s="1975"/>
      <c r="BJ9" s="1975"/>
      <c r="BK9" s="1975"/>
      <c r="BL9" s="1975"/>
      <c r="BM9" s="1975"/>
      <c r="BN9" s="1975"/>
      <c r="BO9" s="1975"/>
      <c r="BP9" s="1975"/>
      <c r="BQ9" s="1975"/>
      <c r="BR9" s="1975"/>
      <c r="BS9" s="1975"/>
      <c r="BT9" s="1975"/>
      <c r="BU9" s="1975"/>
      <c r="BV9" s="1975"/>
      <c r="BW9" s="1975"/>
      <c r="BX9" s="1975"/>
      <c r="BY9" s="1975"/>
      <c r="BZ9" s="1975"/>
      <c r="CA9" s="1975"/>
      <c r="CB9" s="1975"/>
      <c r="CC9" s="1975"/>
      <c r="CD9" s="1975"/>
      <c r="CE9" s="1975"/>
      <c r="CF9" s="1975"/>
      <c r="CG9" s="1975"/>
      <c r="CH9" s="1975"/>
      <c r="CI9" s="1975"/>
      <c r="CJ9" s="1975"/>
      <c r="CK9" s="1975"/>
      <c r="CL9" s="1975"/>
      <c r="CM9" s="1975"/>
      <c r="CN9" s="1975"/>
      <c r="CO9" s="1975"/>
      <c r="CP9" s="1975"/>
      <c r="CQ9" s="1975"/>
      <c r="CR9" s="1975"/>
      <c r="CS9" s="1975"/>
      <c r="CT9" s="1975"/>
      <c r="CU9" s="1975"/>
      <c r="CV9" s="1975"/>
      <c r="CW9" s="1975"/>
      <c r="CX9" s="1975"/>
      <c r="CY9" s="1975"/>
      <c r="CZ9" s="1975"/>
      <c r="DA9" s="1975"/>
      <c r="DB9" s="1975"/>
      <c r="DC9" s="1975"/>
      <c r="DD9" s="1975"/>
      <c r="DE9" s="1975"/>
      <c r="DF9" s="1975"/>
      <c r="DG9" s="1975"/>
      <c r="DH9" s="1975"/>
      <c r="DI9" s="1975"/>
      <c r="DJ9" s="1975"/>
      <c r="DK9" s="1975"/>
      <c r="DL9" s="1975"/>
      <c r="DM9" s="1975"/>
      <c r="DN9" s="1975"/>
      <c r="DO9" s="1975"/>
      <c r="DP9" s="1975"/>
      <c r="DQ9" s="1975"/>
      <c r="DR9" s="1975"/>
      <c r="DS9" s="1975"/>
      <c r="DT9" s="1975"/>
      <c r="DU9" s="1975"/>
      <c r="DV9" s="1975"/>
      <c r="DW9" s="1975"/>
      <c r="DX9" s="1975"/>
      <c r="DY9" s="1975"/>
      <c r="DZ9" s="1975"/>
      <c r="EA9" s="1975"/>
      <c r="EB9" s="1975"/>
      <c r="EC9" s="1975"/>
      <c r="ED9" s="1975"/>
      <c r="EE9" s="1975"/>
      <c r="EF9" s="1975"/>
      <c r="EG9" s="1975"/>
      <c r="EH9" s="1975"/>
      <c r="EI9" s="1975"/>
      <c r="EJ9" s="1975"/>
      <c r="EK9" s="1975"/>
      <c r="EL9" s="1975"/>
      <c r="EM9" s="1975"/>
      <c r="EN9" s="1975"/>
      <c r="EO9" s="1975"/>
      <c r="EP9" s="1975"/>
      <c r="EQ9" s="1975"/>
      <c r="ER9" s="1975"/>
      <c r="ES9" s="1975"/>
      <c r="ET9" s="1975"/>
      <c r="EU9" s="1975"/>
      <c r="EV9" s="1975"/>
      <c r="EW9" s="1975"/>
      <c r="EX9" s="1975"/>
      <c r="EY9" s="1975"/>
      <c r="EZ9" s="1975"/>
      <c r="FA9" s="1975"/>
      <c r="FB9" s="1975"/>
      <c r="FC9" s="1975"/>
      <c r="FD9" s="1975"/>
      <c r="FE9" s="1975"/>
      <c r="FF9" s="1975"/>
      <c r="FG9" s="1975"/>
      <c r="FH9" s="1975"/>
      <c r="FI9" s="1975"/>
      <c r="FJ9" s="1975"/>
      <c r="FK9" s="1975"/>
      <c r="FL9" s="1975"/>
      <c r="FM9" s="1975"/>
      <c r="FN9" s="1975"/>
      <c r="FO9" s="1975"/>
      <c r="FP9" s="1975"/>
      <c r="FQ9" s="1975"/>
      <c r="FR9" s="1975"/>
      <c r="FS9" s="1975"/>
      <c r="FT9" s="1975"/>
      <c r="FU9" s="1975"/>
      <c r="FV9" s="1975"/>
      <c r="FW9" s="1975"/>
      <c r="FX9" s="1975"/>
      <c r="FY9" s="1975"/>
      <c r="FZ9" s="1975"/>
      <c r="GA9" s="1975"/>
      <c r="GB9" s="1975"/>
      <c r="GC9" s="1975"/>
      <c r="GD9" s="1975"/>
      <c r="GE9" s="1975"/>
      <c r="GF9" s="1975"/>
      <c r="GG9" s="1975"/>
      <c r="GH9" s="1975"/>
      <c r="GI9" s="1975"/>
      <c r="GJ9" s="1975"/>
      <c r="GK9" s="1975"/>
      <c r="GL9" s="1975"/>
      <c r="GM9" s="1975"/>
      <c r="GN9" s="1975"/>
      <c r="GO9" s="1975"/>
      <c r="GP9" s="1975"/>
      <c r="GQ9" s="1975"/>
      <c r="GR9" s="1975"/>
      <c r="GS9" s="1975"/>
      <c r="GT9" s="1975"/>
      <c r="GU9" s="1975"/>
      <c r="GV9" s="1975"/>
      <c r="GW9" s="1975"/>
      <c r="GX9" s="1975"/>
      <c r="GY9" s="1975"/>
      <c r="GZ9" s="1975"/>
      <c r="HA9" s="1975"/>
      <c r="HB9" s="1975"/>
      <c r="HC9" s="1975"/>
      <c r="HD9" s="1975"/>
      <c r="HE9" s="1975"/>
      <c r="HF9" s="1975"/>
      <c r="HG9" s="1975"/>
      <c r="HH9" s="1975"/>
      <c r="HI9" s="1975"/>
      <c r="HJ9" s="1975"/>
      <c r="HK9" s="1975"/>
      <c r="HL9" s="1975"/>
      <c r="HM9" s="1975"/>
      <c r="HN9" s="1975"/>
      <c r="HO9" s="1975"/>
      <c r="HP9" s="1975"/>
      <c r="HQ9" s="1975"/>
      <c r="HR9" s="1975"/>
      <c r="HS9" s="1975"/>
      <c r="HT9" s="1975"/>
      <c r="HU9" s="1975"/>
      <c r="HV9" s="1975"/>
      <c r="HW9" s="1975"/>
      <c r="HX9" s="1975"/>
      <c r="HY9" s="1975"/>
      <c r="HZ9" s="1975"/>
      <c r="IA9" s="1975"/>
      <c r="IB9" s="1975"/>
      <c r="IC9" s="1975"/>
      <c r="ID9" s="1975"/>
      <c r="IE9" s="1975"/>
      <c r="IF9" s="1975"/>
      <c r="IG9" s="1975"/>
      <c r="IH9" s="1975"/>
      <c r="II9" s="1975"/>
      <c r="IJ9" s="1975"/>
      <c r="IK9" s="1975"/>
      <c r="IL9" s="1975"/>
      <c r="IM9" s="1975"/>
      <c r="IN9" s="1975"/>
      <c r="IO9" s="1975"/>
      <c r="IP9" s="1975"/>
      <c r="IQ9" s="1975"/>
      <c r="IR9" s="1975"/>
    </row>
    <row r="10" spans="1:252" s="2281" customFormat="1" ht="15.75">
      <c r="A10" s="2283"/>
      <c r="B10" s="310"/>
      <c r="C10" s="310"/>
      <c r="D10" s="310"/>
      <c r="E10" s="310"/>
      <c r="F10" s="310"/>
      <c r="G10" s="1975"/>
      <c r="H10" s="310"/>
      <c r="I10" s="310"/>
      <c r="J10" s="310"/>
      <c r="K10" s="310"/>
      <c r="L10" s="310"/>
      <c r="M10" s="310"/>
      <c r="N10" s="310"/>
      <c r="O10" s="310"/>
      <c r="P10" s="310"/>
      <c r="Q10" s="2283"/>
      <c r="R10" s="2284"/>
      <c r="S10" s="1875"/>
      <c r="T10" s="2284"/>
      <c r="U10" s="1875"/>
      <c r="V10" s="18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c r="AT10" s="1975"/>
      <c r="AU10" s="1975"/>
      <c r="AV10" s="1975"/>
      <c r="AW10" s="1975"/>
      <c r="AX10" s="1975"/>
      <c r="AY10" s="1975"/>
      <c r="AZ10" s="1975"/>
      <c r="BA10" s="1975"/>
      <c r="BB10" s="1975"/>
      <c r="BC10" s="1975"/>
      <c r="BD10" s="1975"/>
      <c r="BE10" s="1975"/>
      <c r="BF10" s="1975"/>
      <c r="BG10" s="1975"/>
      <c r="BH10" s="1975"/>
      <c r="BI10" s="1975"/>
      <c r="BJ10" s="1975"/>
      <c r="BK10" s="1975"/>
      <c r="BL10" s="1975"/>
      <c r="BM10" s="1975"/>
      <c r="BN10" s="1975"/>
      <c r="BO10" s="1975"/>
      <c r="BP10" s="1975"/>
      <c r="BQ10" s="1975"/>
      <c r="BR10" s="1975"/>
      <c r="BS10" s="1975"/>
      <c r="BT10" s="1975"/>
      <c r="BU10" s="1975"/>
      <c r="BV10" s="1975"/>
      <c r="BW10" s="1975"/>
      <c r="BX10" s="1975"/>
      <c r="BY10" s="1975"/>
      <c r="BZ10" s="1975"/>
      <c r="CA10" s="1975"/>
      <c r="CB10" s="1975"/>
      <c r="CC10" s="1975"/>
      <c r="CD10" s="1975"/>
      <c r="CE10" s="1975"/>
      <c r="CF10" s="1975"/>
      <c r="CG10" s="1975"/>
      <c r="CH10" s="1975"/>
      <c r="CI10" s="1975"/>
      <c r="CJ10" s="1975"/>
      <c r="CK10" s="1975"/>
      <c r="CL10" s="1975"/>
      <c r="CM10" s="1975"/>
      <c r="CN10" s="1975"/>
      <c r="CO10" s="1975"/>
      <c r="CP10" s="1975"/>
      <c r="CQ10" s="1975"/>
      <c r="CR10" s="1975"/>
      <c r="CS10" s="1975"/>
      <c r="CT10" s="1975"/>
      <c r="CU10" s="1975"/>
      <c r="CV10" s="1975"/>
      <c r="CW10" s="1975"/>
      <c r="CX10" s="1975"/>
      <c r="CY10" s="1975"/>
      <c r="CZ10" s="1975"/>
      <c r="DA10" s="1975"/>
      <c r="DB10" s="1975"/>
      <c r="DC10" s="1975"/>
      <c r="DD10" s="1975"/>
      <c r="DE10" s="1975"/>
      <c r="DF10" s="1975"/>
      <c r="DG10" s="1975"/>
      <c r="DH10" s="1975"/>
      <c r="DI10" s="1975"/>
      <c r="DJ10" s="1975"/>
      <c r="DK10" s="1975"/>
      <c r="DL10" s="1975"/>
      <c r="DM10" s="1975"/>
      <c r="DN10" s="1975"/>
      <c r="DO10" s="1975"/>
      <c r="DP10" s="1975"/>
      <c r="DQ10" s="1975"/>
      <c r="DR10" s="1975"/>
      <c r="DS10" s="1975"/>
      <c r="DT10" s="1975"/>
      <c r="DU10" s="1975"/>
      <c r="DV10" s="1975"/>
      <c r="DW10" s="1975"/>
      <c r="DX10" s="1975"/>
      <c r="DY10" s="1975"/>
      <c r="DZ10" s="1975"/>
      <c r="EA10" s="1975"/>
      <c r="EB10" s="1975"/>
      <c r="EC10" s="1975"/>
      <c r="ED10" s="1975"/>
      <c r="EE10" s="1975"/>
      <c r="EF10" s="1975"/>
      <c r="EG10" s="1975"/>
      <c r="EH10" s="1975"/>
      <c r="EI10" s="1975"/>
      <c r="EJ10" s="1975"/>
      <c r="EK10" s="1975"/>
      <c r="EL10" s="1975"/>
      <c r="EM10" s="1975"/>
      <c r="EN10" s="1975"/>
      <c r="EO10" s="1975"/>
      <c r="EP10" s="1975"/>
      <c r="EQ10" s="1975"/>
      <c r="ER10" s="1975"/>
      <c r="ES10" s="1975"/>
      <c r="ET10" s="1975"/>
      <c r="EU10" s="1975"/>
      <c r="EV10" s="1975"/>
      <c r="EW10" s="1975"/>
      <c r="EX10" s="1975"/>
      <c r="EY10" s="1975"/>
      <c r="EZ10" s="1975"/>
      <c r="FA10" s="1975"/>
      <c r="FB10" s="1975"/>
      <c r="FC10" s="1975"/>
      <c r="FD10" s="1975"/>
      <c r="FE10" s="1975"/>
      <c r="FF10" s="1975"/>
      <c r="FG10" s="1975"/>
      <c r="FH10" s="1975"/>
      <c r="FI10" s="1975"/>
      <c r="FJ10" s="1975"/>
      <c r="FK10" s="1975"/>
      <c r="FL10" s="1975"/>
      <c r="FM10" s="1975"/>
      <c r="FN10" s="1975"/>
      <c r="FO10" s="1975"/>
      <c r="FP10" s="1975"/>
      <c r="FQ10" s="1975"/>
      <c r="FR10" s="1975"/>
      <c r="FS10" s="1975"/>
      <c r="FT10" s="1975"/>
      <c r="FU10" s="1975"/>
      <c r="FV10" s="1975"/>
      <c r="FW10" s="1975"/>
      <c r="FX10" s="1975"/>
      <c r="FY10" s="1975"/>
      <c r="FZ10" s="1975"/>
      <c r="GA10" s="1975"/>
      <c r="GB10" s="1975"/>
      <c r="GC10" s="1975"/>
      <c r="GD10" s="1975"/>
      <c r="GE10" s="1975"/>
      <c r="GF10" s="1975"/>
      <c r="GG10" s="1975"/>
      <c r="GH10" s="1975"/>
      <c r="GI10" s="1975"/>
      <c r="GJ10" s="1975"/>
      <c r="GK10" s="1975"/>
      <c r="GL10" s="1975"/>
      <c r="GM10" s="1975"/>
      <c r="GN10" s="1975"/>
      <c r="GO10" s="1975"/>
      <c r="GP10" s="1975"/>
      <c r="GQ10" s="1975"/>
      <c r="GR10" s="1975"/>
      <c r="GS10" s="1975"/>
      <c r="GT10" s="1975"/>
      <c r="GU10" s="1975"/>
      <c r="GV10" s="1975"/>
      <c r="GW10" s="1975"/>
      <c r="GX10" s="1975"/>
      <c r="GY10" s="1975"/>
      <c r="GZ10" s="1975"/>
      <c r="HA10" s="1975"/>
      <c r="HB10" s="1975"/>
      <c r="HC10" s="1975"/>
      <c r="HD10" s="1975"/>
      <c r="HE10" s="1975"/>
      <c r="HF10" s="1975"/>
      <c r="HG10" s="1975"/>
      <c r="HH10" s="1975"/>
      <c r="HI10" s="1975"/>
      <c r="HJ10" s="1975"/>
      <c r="HK10" s="1975"/>
      <c r="HL10" s="1975"/>
      <c r="HM10" s="1975"/>
      <c r="HN10" s="1975"/>
      <c r="HO10" s="1975"/>
      <c r="HP10" s="1975"/>
      <c r="HQ10" s="1975"/>
      <c r="HR10" s="1975"/>
      <c r="HS10" s="1975"/>
      <c r="HT10" s="1975"/>
      <c r="HU10" s="1975"/>
      <c r="HV10" s="1975"/>
      <c r="HW10" s="1975"/>
      <c r="HX10" s="1975"/>
      <c r="HY10" s="1975"/>
      <c r="HZ10" s="1975"/>
      <c r="IA10" s="1975"/>
      <c r="IB10" s="1975"/>
      <c r="IC10" s="1975"/>
      <c r="ID10" s="1975"/>
      <c r="IE10" s="1975"/>
      <c r="IF10" s="1975"/>
      <c r="IG10" s="1975"/>
      <c r="IH10" s="1975"/>
      <c r="II10" s="1975"/>
      <c r="IJ10" s="1975"/>
      <c r="IK10" s="1975"/>
      <c r="IL10" s="1975"/>
      <c r="IM10" s="1975"/>
      <c r="IN10" s="1975"/>
      <c r="IO10" s="1975"/>
      <c r="IP10" s="1975"/>
      <c r="IQ10" s="1975"/>
      <c r="IR10" s="1975"/>
    </row>
    <row r="11" spans="1:252" s="2281" customFormat="1" ht="15.75">
      <c r="A11" s="2283"/>
      <c r="B11" s="310"/>
      <c r="C11" s="310"/>
      <c r="D11" s="310"/>
      <c r="E11" s="310"/>
      <c r="F11" s="310"/>
      <c r="G11" s="1975"/>
      <c r="H11" s="310"/>
      <c r="I11" s="310"/>
      <c r="K11" s="315"/>
      <c r="L11" s="1976"/>
      <c r="M11" s="1976"/>
      <c r="N11" s="315"/>
      <c r="O11" s="315"/>
      <c r="P11" s="315"/>
      <c r="Q11" s="2283"/>
      <c r="R11" s="2284"/>
      <c r="S11" s="1875"/>
      <c r="T11" s="2284"/>
      <c r="U11" s="1875"/>
      <c r="V11" s="18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c r="AT11" s="1975"/>
      <c r="AU11" s="1975"/>
      <c r="AV11" s="1975"/>
      <c r="AW11" s="1975"/>
      <c r="AX11" s="1975"/>
      <c r="AY11" s="1975"/>
      <c r="AZ11" s="1975"/>
      <c r="BA11" s="1975"/>
      <c r="BB11" s="1975"/>
      <c r="BC11" s="1975"/>
      <c r="BD11" s="1975"/>
      <c r="BE11" s="1975"/>
      <c r="BF11" s="1975"/>
      <c r="BG11" s="1975"/>
      <c r="BH11" s="1975"/>
      <c r="BI11" s="1975"/>
      <c r="BJ11" s="1975"/>
      <c r="BK11" s="1975"/>
      <c r="BL11" s="1975"/>
      <c r="BM11" s="1975"/>
      <c r="BN11" s="1975"/>
      <c r="BO11" s="1975"/>
      <c r="BP11" s="1975"/>
      <c r="BQ11" s="1975"/>
      <c r="BR11" s="1975"/>
      <c r="BS11" s="1975"/>
      <c r="BT11" s="1975"/>
      <c r="BU11" s="1975"/>
      <c r="BV11" s="1975"/>
      <c r="BW11" s="1975"/>
      <c r="BX11" s="1975"/>
      <c r="BY11" s="1975"/>
      <c r="BZ11" s="1975"/>
      <c r="CA11" s="1975"/>
      <c r="CB11" s="1975"/>
      <c r="CC11" s="1975"/>
      <c r="CD11" s="1975"/>
      <c r="CE11" s="1975"/>
      <c r="CF11" s="1975"/>
      <c r="CG11" s="1975"/>
      <c r="CH11" s="1975"/>
      <c r="CI11" s="1975"/>
      <c r="CJ11" s="1975"/>
      <c r="CK11" s="1975"/>
      <c r="CL11" s="1975"/>
      <c r="CM11" s="1975"/>
      <c r="CN11" s="1975"/>
      <c r="CO11" s="1975"/>
      <c r="CP11" s="1975"/>
      <c r="CQ11" s="1975"/>
      <c r="CR11" s="1975"/>
      <c r="CS11" s="1975"/>
      <c r="CT11" s="1975"/>
      <c r="CU11" s="1975"/>
      <c r="CV11" s="1975"/>
      <c r="CW11" s="1975"/>
      <c r="CX11" s="1975"/>
      <c r="CY11" s="1975"/>
      <c r="CZ11" s="1975"/>
      <c r="DA11" s="1975"/>
      <c r="DB11" s="1975"/>
      <c r="DC11" s="1975"/>
      <c r="DD11" s="1975"/>
      <c r="DE11" s="1975"/>
      <c r="DF11" s="1975"/>
      <c r="DG11" s="1975"/>
      <c r="DH11" s="1975"/>
      <c r="DI11" s="1975"/>
      <c r="DJ11" s="1975"/>
      <c r="DK11" s="1975"/>
      <c r="DL11" s="1975"/>
      <c r="DM11" s="1975"/>
      <c r="DN11" s="1975"/>
      <c r="DO11" s="1975"/>
      <c r="DP11" s="1975"/>
      <c r="DQ11" s="1975"/>
      <c r="DR11" s="1975"/>
      <c r="DS11" s="1975"/>
      <c r="DT11" s="1975"/>
      <c r="DU11" s="1975"/>
      <c r="DV11" s="1975"/>
      <c r="DW11" s="1975"/>
      <c r="DX11" s="1975"/>
      <c r="DY11" s="1975"/>
      <c r="DZ11" s="1975"/>
      <c r="EA11" s="1975"/>
      <c r="EB11" s="1975"/>
      <c r="EC11" s="1975"/>
      <c r="ED11" s="1975"/>
      <c r="EE11" s="1975"/>
      <c r="EF11" s="1975"/>
      <c r="EG11" s="1975"/>
      <c r="EH11" s="1975"/>
      <c r="EI11" s="1975"/>
      <c r="EJ11" s="1975"/>
      <c r="EK11" s="1975"/>
      <c r="EL11" s="1975"/>
      <c r="EM11" s="1975"/>
      <c r="EN11" s="1975"/>
      <c r="EO11" s="1975"/>
      <c r="EP11" s="1975"/>
      <c r="EQ11" s="1975"/>
      <c r="ER11" s="1975"/>
      <c r="ES11" s="1975"/>
      <c r="ET11" s="1975"/>
      <c r="EU11" s="1975"/>
      <c r="EV11" s="1975"/>
      <c r="EW11" s="1975"/>
      <c r="EX11" s="1975"/>
      <c r="EY11" s="1975"/>
      <c r="EZ11" s="1975"/>
      <c r="FA11" s="1975"/>
      <c r="FB11" s="1975"/>
      <c r="FC11" s="1975"/>
      <c r="FD11" s="1975"/>
      <c r="FE11" s="1975"/>
      <c r="FF11" s="1975"/>
      <c r="FG11" s="1975"/>
      <c r="FH11" s="1975"/>
      <c r="FI11" s="1975"/>
      <c r="FJ11" s="1975"/>
      <c r="FK11" s="1975"/>
      <c r="FL11" s="1975"/>
      <c r="FM11" s="1975"/>
      <c r="FN11" s="1975"/>
      <c r="FO11" s="1975"/>
      <c r="FP11" s="1975"/>
      <c r="FQ11" s="1975"/>
      <c r="FR11" s="1975"/>
      <c r="FS11" s="1975"/>
      <c r="FT11" s="1975"/>
      <c r="FU11" s="1975"/>
      <c r="FV11" s="1975"/>
      <c r="FW11" s="1975"/>
      <c r="FX11" s="1975"/>
      <c r="FY11" s="1975"/>
      <c r="FZ11" s="1975"/>
      <c r="GA11" s="1975"/>
      <c r="GB11" s="1975"/>
      <c r="GC11" s="1975"/>
      <c r="GD11" s="1975"/>
      <c r="GE11" s="1975"/>
      <c r="GF11" s="1975"/>
      <c r="GG11" s="1975"/>
      <c r="GH11" s="1975"/>
      <c r="GI11" s="1975"/>
      <c r="GJ11" s="1975"/>
      <c r="GK11" s="1975"/>
      <c r="GL11" s="1975"/>
      <c r="GM11" s="1975"/>
      <c r="GN11" s="1975"/>
      <c r="GO11" s="1975"/>
      <c r="GP11" s="1975"/>
      <c r="GQ11" s="1975"/>
      <c r="GR11" s="1975"/>
      <c r="GS11" s="1975"/>
      <c r="GT11" s="1975"/>
      <c r="GU11" s="1975"/>
      <c r="GV11" s="1975"/>
      <c r="GW11" s="1975"/>
      <c r="GX11" s="1975"/>
      <c r="GY11" s="1975"/>
      <c r="GZ11" s="1975"/>
      <c r="HA11" s="1975"/>
      <c r="HB11" s="1975"/>
      <c r="HC11" s="1975"/>
      <c r="HD11" s="1975"/>
      <c r="HE11" s="1975"/>
      <c r="HF11" s="1975"/>
      <c r="HG11" s="1975"/>
      <c r="HH11" s="1975"/>
      <c r="HI11" s="1975"/>
      <c r="HJ11" s="1975"/>
      <c r="HK11" s="1975"/>
      <c r="HL11" s="1975"/>
      <c r="HM11" s="1975"/>
      <c r="HN11" s="1975"/>
      <c r="HO11" s="1975"/>
      <c r="HP11" s="1975"/>
      <c r="HQ11" s="1975"/>
      <c r="HR11" s="1975"/>
      <c r="HS11" s="1975"/>
      <c r="HT11" s="1975"/>
      <c r="HU11" s="1975"/>
      <c r="HV11" s="1975"/>
      <c r="HW11" s="1975"/>
      <c r="HX11" s="1975"/>
      <c r="HY11" s="1975"/>
      <c r="HZ11" s="1975"/>
      <c r="IA11" s="1975"/>
      <c r="IB11" s="1975"/>
      <c r="IC11" s="1975"/>
      <c r="ID11" s="1975"/>
      <c r="IE11" s="1975"/>
      <c r="IF11" s="1975"/>
      <c r="IG11" s="1975"/>
      <c r="IH11" s="1975"/>
      <c r="II11" s="1975"/>
      <c r="IJ11" s="1975"/>
      <c r="IK11" s="1975"/>
      <c r="IL11" s="1975"/>
      <c r="IM11" s="1975"/>
      <c r="IN11" s="1975"/>
      <c r="IO11" s="1975"/>
      <c r="IP11" s="1975"/>
      <c r="IQ11" s="1975"/>
      <c r="IR11" s="1975"/>
    </row>
    <row r="12" spans="1:252" ht="15.95" customHeight="1">
      <c r="A12" s="2283"/>
      <c r="B12" s="315" t="s">
        <v>83</v>
      </c>
      <c r="C12" s="2286"/>
      <c r="D12" s="315"/>
      <c r="E12" s="310"/>
      <c r="F12" s="315" t="s">
        <v>84</v>
      </c>
      <c r="G12" s="2286"/>
      <c r="H12" s="315"/>
      <c r="I12" s="310"/>
      <c r="J12" s="315" t="s">
        <v>85</v>
      </c>
      <c r="K12" s="315"/>
      <c r="L12" s="1976"/>
      <c r="M12" s="315"/>
      <c r="N12" s="315"/>
      <c r="O12" s="315"/>
      <c r="P12" s="315"/>
      <c r="Q12" s="2283"/>
      <c r="R12" s="2287"/>
      <c r="S12" s="3351" t="s">
        <v>1232</v>
      </c>
      <c r="T12" s="3351"/>
      <c r="U12" s="3351"/>
      <c r="V12" s="1875"/>
    </row>
    <row r="13" spans="1:252" ht="12.95" customHeight="1">
      <c r="A13" s="2283"/>
      <c r="B13" s="2288"/>
      <c r="C13" s="2288"/>
      <c r="D13" s="2288"/>
      <c r="E13" s="2283"/>
      <c r="F13" s="2288"/>
      <c r="G13" s="2289"/>
      <c r="H13" s="2288"/>
      <c r="I13" s="2283"/>
      <c r="J13" s="2288"/>
      <c r="K13" s="2288"/>
      <c r="L13" s="2288"/>
      <c r="M13" s="2288"/>
      <c r="N13" s="2288"/>
      <c r="O13" s="2288"/>
      <c r="P13" s="2288"/>
      <c r="Q13" s="2283"/>
      <c r="R13" s="2290"/>
      <c r="S13" s="1407"/>
      <c r="T13" s="2291"/>
      <c r="U13" s="1874"/>
      <c r="V13" s="1875"/>
    </row>
    <row r="14" spans="1:252" ht="15.95" customHeight="1">
      <c r="A14" s="2283"/>
      <c r="B14" s="1616" t="s">
        <v>7</v>
      </c>
      <c r="C14" s="310"/>
      <c r="D14" s="1617" t="s">
        <v>1637</v>
      </c>
      <c r="E14" s="310"/>
      <c r="F14" s="1616" t="s">
        <v>7</v>
      </c>
      <c r="G14" s="1618"/>
      <c r="H14" s="1616" t="str">
        <f>D14</f>
        <v>7 MOS. ENDED</v>
      </c>
      <c r="I14" s="310"/>
      <c r="J14" s="1616" t="s">
        <v>7</v>
      </c>
      <c r="K14" s="310"/>
      <c r="L14" s="1616" t="str">
        <f>D14</f>
        <v>7 MOS. ENDED</v>
      </c>
      <c r="M14" s="310"/>
      <c r="N14" s="1616" t="s">
        <v>7</v>
      </c>
      <c r="O14" s="310"/>
      <c r="P14" s="1616" t="str">
        <f>H14</f>
        <v>7 MOS. ENDED</v>
      </c>
      <c r="Q14" s="2283"/>
      <c r="R14" s="2290"/>
      <c r="S14" s="1631" t="s">
        <v>8</v>
      </c>
      <c r="T14" s="418"/>
      <c r="U14" s="1632" t="s">
        <v>9</v>
      </c>
      <c r="V14" s="1875"/>
    </row>
    <row r="15" spans="1:252" ht="15.95" customHeight="1">
      <c r="A15" s="2283"/>
      <c r="B15" s="2006" t="s">
        <v>1633</v>
      </c>
      <c r="C15" s="310"/>
      <c r="D15" s="2006" t="s">
        <v>1634</v>
      </c>
      <c r="E15" s="310"/>
      <c r="F15" s="1619" t="str">
        <f>+B15</f>
        <v>OCT. 2014</v>
      </c>
      <c r="G15" s="310"/>
      <c r="H15" s="1620" t="str">
        <f>D15</f>
        <v>OCT. 31, 2014</v>
      </c>
      <c r="I15" s="310"/>
      <c r="J15" s="1619" t="str">
        <f>+F15</f>
        <v>OCT. 2014</v>
      </c>
      <c r="K15" s="310"/>
      <c r="L15" s="1620" t="str">
        <f>D15</f>
        <v>OCT. 31, 2014</v>
      </c>
      <c r="M15" s="310"/>
      <c r="N15" s="1621" t="s">
        <v>1635</v>
      </c>
      <c r="O15" s="310"/>
      <c r="P15" s="2006" t="s">
        <v>1636</v>
      </c>
      <c r="Q15" s="2283"/>
      <c r="R15" s="2290"/>
      <c r="S15" s="1637" t="s">
        <v>13</v>
      </c>
      <c r="T15" s="417"/>
      <c r="U15" s="1638" t="s">
        <v>14</v>
      </c>
      <c r="V15" s="1875"/>
    </row>
    <row r="16" spans="1:252" ht="12.95" customHeight="1">
      <c r="A16" s="2283"/>
      <c r="B16" s="2285"/>
      <c r="C16" s="2283"/>
      <c r="D16" s="2285" t="s">
        <v>16</v>
      </c>
      <c r="E16" s="2283"/>
      <c r="F16" s="2288"/>
      <c r="G16" s="2283"/>
      <c r="H16" s="2292" t="s">
        <v>16</v>
      </c>
      <c r="I16" s="2285"/>
      <c r="J16" s="2293"/>
      <c r="K16" s="2283"/>
      <c r="L16" s="2294"/>
      <c r="M16" s="2285"/>
      <c r="N16" s="2285"/>
      <c r="O16" s="2283"/>
      <c r="P16" s="2285"/>
      <c r="Q16" s="2283"/>
      <c r="R16" s="2295"/>
      <c r="S16" s="1875"/>
      <c r="T16" s="2285"/>
      <c r="U16" s="1875"/>
      <c r="V16" s="1875"/>
    </row>
    <row r="17" spans="1:245" ht="15.95" customHeight="1">
      <c r="A17" s="310" t="s">
        <v>15</v>
      </c>
      <c r="B17" s="2296"/>
      <c r="C17" s="2296"/>
      <c r="D17" s="2296"/>
      <c r="E17" s="2296"/>
      <c r="F17" s="2297"/>
      <c r="G17" s="2296"/>
      <c r="H17" s="2298"/>
      <c r="I17" s="2297"/>
      <c r="J17" s="2299"/>
      <c r="K17" s="2296"/>
      <c r="L17" s="2298"/>
      <c r="M17" s="2297"/>
      <c r="N17" s="2297"/>
      <c r="O17" s="2296"/>
      <c r="P17" s="2297"/>
      <c r="Q17" s="2283"/>
      <c r="R17" s="2300"/>
      <c r="S17" s="1875"/>
      <c r="T17" s="2297"/>
      <c r="U17" s="1875"/>
      <c r="V17" s="1875"/>
    </row>
    <row r="18" spans="1:245" ht="15.95" customHeight="1">
      <c r="A18" s="2283" t="s">
        <v>21</v>
      </c>
      <c r="B18" s="2301">
        <f>+'EXHIBIT L'!N16</f>
        <v>4.5</v>
      </c>
      <c r="C18" s="1981"/>
      <c r="D18" s="1980">
        <f>+'EXHIBIT L'!AA16</f>
        <v>55</v>
      </c>
      <c r="E18" s="1981"/>
      <c r="F18" s="2302">
        <f>+'EXHIBIT M'!N16</f>
        <v>0.1</v>
      </c>
      <c r="G18" s="1981"/>
      <c r="H18" s="2303">
        <f>+'EXHIBIT M'!AA16</f>
        <v>0.7</v>
      </c>
      <c r="I18" s="2304"/>
      <c r="J18" s="2305">
        <f>SUM(B18)+SUM(F18)</f>
        <v>4.5999999999999996</v>
      </c>
      <c r="K18" s="1981"/>
      <c r="L18" s="2303">
        <f>D18+SUM(H18)</f>
        <v>55.7</v>
      </c>
      <c r="M18" s="2304"/>
      <c r="N18" s="2306">
        <v>5.3</v>
      </c>
      <c r="O18" s="1981"/>
      <c r="P18" s="2306">
        <f>'EXHIBIT L'!AD16+'EXHIBIT M'!AD16</f>
        <v>58.800000000000004</v>
      </c>
      <c r="Q18" s="2307"/>
      <c r="R18" s="2308"/>
      <c r="S18" s="2522">
        <f>ROUND(SUM(L18-P18),1)</f>
        <v>-3.1</v>
      </c>
      <c r="T18" s="2309"/>
      <c r="U18" s="3114">
        <f>ROUND(IF(S18=0,0,S18/(P18)),3)</f>
        <v>-5.2999999999999999E-2</v>
      </c>
      <c r="V18" s="2310"/>
      <c r="W18" s="2311"/>
      <c r="X18" s="2311"/>
      <c r="Y18" s="2311"/>
      <c r="Z18" s="2311"/>
      <c r="AA18" s="2311"/>
      <c r="AB18" s="2311"/>
      <c r="AC18" s="2311"/>
      <c r="AD18" s="2311"/>
      <c r="AE18" s="2311"/>
      <c r="AF18" s="2311"/>
      <c r="AG18" s="2311"/>
      <c r="AH18" s="2311"/>
      <c r="AI18" s="2311"/>
      <c r="AJ18" s="2311"/>
      <c r="AK18" s="2311"/>
      <c r="AL18" s="2311"/>
      <c r="AM18" s="2311"/>
      <c r="AN18" s="2311"/>
      <c r="AO18" s="2311"/>
      <c r="AP18" s="2311"/>
      <c r="AQ18" s="2311"/>
      <c r="AR18" s="2311"/>
      <c r="AS18" s="2311"/>
      <c r="AT18" s="2311"/>
      <c r="AU18" s="2311"/>
      <c r="AV18" s="2311"/>
      <c r="AW18" s="2311"/>
      <c r="AX18" s="2311"/>
      <c r="AY18" s="2311"/>
      <c r="AZ18" s="2311"/>
      <c r="BA18" s="2311"/>
      <c r="BB18" s="2311"/>
      <c r="BC18" s="2311"/>
      <c r="BD18" s="2311"/>
      <c r="BE18" s="2311"/>
      <c r="BF18" s="2311"/>
      <c r="BG18" s="2311"/>
      <c r="BH18" s="2311"/>
      <c r="BI18" s="2311"/>
      <c r="BJ18" s="2311"/>
      <c r="BK18" s="2311"/>
      <c r="BL18" s="2311"/>
      <c r="BM18" s="2311"/>
      <c r="BN18" s="2311"/>
      <c r="BO18" s="2311"/>
      <c r="BP18" s="2311"/>
      <c r="BQ18" s="2311"/>
      <c r="BR18" s="2311"/>
      <c r="BS18" s="2311"/>
      <c r="BT18" s="2311"/>
      <c r="BU18" s="2311"/>
      <c r="BV18" s="2311"/>
      <c r="BW18" s="2311"/>
      <c r="BX18" s="2311"/>
      <c r="BY18" s="2311"/>
      <c r="BZ18" s="2311"/>
      <c r="CA18" s="2311"/>
      <c r="CB18" s="2311"/>
      <c r="CC18" s="2311"/>
      <c r="CD18" s="2311"/>
      <c r="CE18" s="2311"/>
      <c r="CF18" s="2311"/>
      <c r="CG18" s="2311"/>
      <c r="CH18" s="2311"/>
      <c r="CI18" s="2311"/>
      <c r="CJ18" s="2311"/>
      <c r="CK18" s="2311"/>
      <c r="CL18" s="2311"/>
      <c r="CM18" s="2311"/>
      <c r="CN18" s="2311"/>
      <c r="CO18" s="2311"/>
      <c r="CP18" s="2311"/>
      <c r="CQ18" s="2311"/>
      <c r="CR18" s="2311"/>
      <c r="CS18" s="2311"/>
      <c r="CT18" s="2311"/>
      <c r="CU18" s="2311"/>
      <c r="CV18" s="2311"/>
      <c r="CW18" s="2311"/>
      <c r="CX18" s="2311"/>
      <c r="CY18" s="2311"/>
      <c r="CZ18" s="2311"/>
      <c r="DA18" s="2311"/>
      <c r="DB18" s="2311"/>
      <c r="DC18" s="2311"/>
      <c r="DD18" s="2311"/>
      <c r="DE18" s="2311"/>
      <c r="DF18" s="2311"/>
      <c r="DG18" s="2311"/>
      <c r="DH18" s="2311"/>
      <c r="DI18" s="2311"/>
      <c r="DJ18" s="2311"/>
      <c r="DK18" s="2311"/>
      <c r="DL18" s="2311"/>
      <c r="DM18" s="2311"/>
      <c r="DN18" s="2311"/>
      <c r="DO18" s="2311"/>
      <c r="DP18" s="2311"/>
      <c r="DQ18" s="2311"/>
      <c r="DR18" s="2311"/>
      <c r="DS18" s="2311"/>
      <c r="DT18" s="2311"/>
      <c r="DU18" s="2311"/>
      <c r="DV18" s="2311"/>
      <c r="DW18" s="2311"/>
      <c r="DX18" s="2311"/>
      <c r="DY18" s="2311"/>
      <c r="DZ18" s="2311"/>
      <c r="EA18" s="2311"/>
      <c r="EB18" s="2311"/>
      <c r="EC18" s="2311"/>
      <c r="ED18" s="2311"/>
      <c r="EE18" s="2311"/>
      <c r="EF18" s="2311"/>
      <c r="EG18" s="2311"/>
      <c r="EH18" s="2311"/>
      <c r="EI18" s="2311"/>
      <c r="EJ18" s="2311"/>
      <c r="EK18" s="2311"/>
      <c r="EL18" s="2311"/>
      <c r="EM18" s="2311"/>
      <c r="EN18" s="2311"/>
      <c r="EO18" s="2311"/>
      <c r="EP18" s="2311"/>
      <c r="EQ18" s="2311"/>
      <c r="ER18" s="2311"/>
      <c r="ES18" s="2311"/>
      <c r="ET18" s="2311"/>
      <c r="EU18" s="2311"/>
      <c r="EV18" s="2311"/>
      <c r="EW18" s="2311"/>
      <c r="EX18" s="2311"/>
      <c r="EY18" s="2311"/>
      <c r="EZ18" s="2311"/>
      <c r="FA18" s="2311"/>
      <c r="FB18" s="2311"/>
      <c r="FC18" s="2311"/>
      <c r="FD18" s="2311"/>
      <c r="FE18" s="2311"/>
      <c r="FF18" s="2311"/>
      <c r="FG18" s="2311"/>
      <c r="FH18" s="2311"/>
      <c r="FI18" s="2311"/>
      <c r="FJ18" s="2311"/>
      <c r="FK18" s="2311"/>
      <c r="FL18" s="2311"/>
      <c r="FM18" s="2311"/>
      <c r="FN18" s="2311"/>
      <c r="FO18" s="2311"/>
      <c r="FP18" s="2311"/>
      <c r="FQ18" s="2311"/>
      <c r="FR18" s="2311"/>
      <c r="FS18" s="2311"/>
      <c r="FT18" s="2311"/>
      <c r="FU18" s="2311"/>
      <c r="FV18" s="2311"/>
      <c r="FW18" s="2311"/>
      <c r="FX18" s="2311"/>
      <c r="FY18" s="2311"/>
      <c r="FZ18" s="2311"/>
      <c r="GA18" s="2311"/>
      <c r="GB18" s="2311"/>
      <c r="GC18" s="2311"/>
      <c r="GD18" s="2311"/>
      <c r="GE18" s="2311"/>
      <c r="GF18" s="2311"/>
      <c r="GG18" s="2311"/>
      <c r="GH18" s="2311"/>
      <c r="GI18" s="2311"/>
      <c r="GJ18" s="2311"/>
      <c r="GK18" s="2311"/>
      <c r="GL18" s="2311"/>
      <c r="GM18" s="2311"/>
      <c r="GN18" s="2311"/>
      <c r="GO18" s="2311"/>
      <c r="GP18" s="2311"/>
      <c r="GQ18" s="2311"/>
      <c r="GR18" s="2311"/>
      <c r="GS18" s="2311"/>
      <c r="GT18" s="2311"/>
      <c r="GU18" s="2311"/>
      <c r="GV18" s="2311"/>
      <c r="GW18" s="2311"/>
      <c r="GX18" s="2311"/>
      <c r="GY18" s="2311"/>
      <c r="GZ18" s="2311"/>
      <c r="HA18" s="2311"/>
      <c r="HB18" s="2311"/>
      <c r="HC18" s="2311"/>
      <c r="HD18" s="2311"/>
      <c r="HE18" s="2311"/>
      <c r="HF18" s="2311"/>
      <c r="HG18" s="2311"/>
      <c r="HH18" s="2311"/>
      <c r="HI18" s="2311"/>
      <c r="HJ18" s="2311"/>
      <c r="HK18" s="2311"/>
      <c r="HL18" s="2311"/>
      <c r="HM18" s="2311"/>
      <c r="HN18" s="2311"/>
      <c r="HO18" s="2311"/>
      <c r="HP18" s="2311"/>
      <c r="HQ18" s="2311"/>
      <c r="HR18" s="2311"/>
      <c r="HS18" s="2311"/>
      <c r="HT18" s="2311"/>
      <c r="HU18" s="2311"/>
      <c r="HV18" s="2311"/>
      <c r="HW18" s="2311"/>
      <c r="HX18" s="2311"/>
      <c r="HY18" s="2311"/>
      <c r="HZ18" s="2311"/>
      <c r="IA18" s="2311"/>
      <c r="IB18" s="2311"/>
      <c r="IC18" s="2311"/>
      <c r="ID18" s="2311"/>
      <c r="IE18" s="2311"/>
      <c r="IF18" s="2311"/>
      <c r="IG18" s="2311"/>
      <c r="IH18" s="2311"/>
      <c r="II18" s="2311"/>
      <c r="IJ18" s="2311"/>
      <c r="IK18" s="2311"/>
    </row>
    <row r="19" spans="1:245" ht="15.75">
      <c r="A19" s="310" t="s">
        <v>23</v>
      </c>
      <c r="B19" s="316">
        <f>ROUND(SUM(B18),1)</f>
        <v>4.5</v>
      </c>
      <c r="C19" s="317"/>
      <c r="D19" s="316">
        <f>ROUND(SUM(D18),1)</f>
        <v>55</v>
      </c>
      <c r="E19" s="317"/>
      <c r="F19" s="318">
        <f>ROUND(SUM(F18),1)</f>
        <v>0.1</v>
      </c>
      <c r="G19" s="317"/>
      <c r="H19" s="319">
        <f>ROUND(SUM(H18),1)</f>
        <v>0.7</v>
      </c>
      <c r="I19" s="320"/>
      <c r="J19" s="321">
        <f>ROUND(SUM(J18),1)</f>
        <v>4.5999999999999996</v>
      </c>
      <c r="K19" s="317"/>
      <c r="L19" s="319">
        <f>ROUND(SUM(L18),1)</f>
        <v>55.7</v>
      </c>
      <c r="M19" s="320"/>
      <c r="N19" s="316">
        <f>ROUND(SUM(N18),1)</f>
        <v>5.3</v>
      </c>
      <c r="O19" s="317"/>
      <c r="P19" s="316">
        <f>ROUND(SUM(P18),1)</f>
        <v>58.8</v>
      </c>
      <c r="Q19" s="1618"/>
      <c r="R19" s="2312"/>
      <c r="S19" s="2341">
        <f>ROUND(SUM(S18),3)</f>
        <v>-3.1</v>
      </c>
      <c r="T19" s="1242"/>
      <c r="U19" s="2342">
        <f>ROUND(+S19/P19,3)</f>
        <v>-5.2999999999999999E-2</v>
      </c>
      <c r="V19" s="1875"/>
    </row>
    <row r="20" spans="1:245" ht="15.75">
      <c r="A20" s="310"/>
      <c r="B20" s="1982"/>
      <c r="C20" s="1982"/>
      <c r="D20" s="1982"/>
      <c r="E20" s="1982"/>
      <c r="F20" s="1982"/>
      <c r="G20" s="1982"/>
      <c r="H20" s="2313"/>
      <c r="I20" s="2314"/>
      <c r="J20" s="2315"/>
      <c r="K20" s="1982"/>
      <c r="L20" s="2316"/>
      <c r="M20" s="2314"/>
      <c r="N20" s="2314"/>
      <c r="O20" s="1982"/>
      <c r="P20" s="2314"/>
      <c r="R20" s="2300"/>
      <c r="S20" s="2340"/>
      <c r="T20" s="2297"/>
      <c r="U20" s="1875"/>
      <c r="V20" s="1875"/>
    </row>
    <row r="21" spans="1:245" ht="15.95" customHeight="1">
      <c r="A21" s="310" t="s">
        <v>24</v>
      </c>
      <c r="B21" s="1982"/>
      <c r="C21" s="1982"/>
      <c r="D21" s="1982"/>
      <c r="E21" s="1982"/>
      <c r="F21" s="1982"/>
      <c r="G21" s="1982"/>
      <c r="H21" s="2316"/>
      <c r="I21" s="2314"/>
      <c r="J21" s="2315"/>
      <c r="K21" s="1982"/>
      <c r="L21" s="2316"/>
      <c r="M21" s="2314"/>
      <c r="N21" s="2314"/>
      <c r="O21" s="1982"/>
      <c r="P21" s="2314"/>
      <c r="R21" s="2300"/>
      <c r="S21" s="2340"/>
      <c r="T21" s="2297"/>
      <c r="U21" s="1875"/>
      <c r="V21" s="1875"/>
    </row>
    <row r="22" spans="1:245" ht="15.95" customHeight="1">
      <c r="A22" s="2283" t="s">
        <v>37</v>
      </c>
      <c r="B22" s="1982"/>
      <c r="C22" s="1982"/>
      <c r="D22" s="1982"/>
      <c r="E22" s="1982"/>
      <c r="F22" s="1982"/>
      <c r="G22" s="1982"/>
      <c r="H22" s="2316"/>
      <c r="I22" s="2314"/>
      <c r="J22" s="2315"/>
      <c r="K22" s="1982"/>
      <c r="L22" s="2316"/>
      <c r="M22" s="2314"/>
      <c r="N22" s="2314"/>
      <c r="O22" s="1982"/>
      <c r="P22" s="2314"/>
      <c r="R22" s="2300"/>
      <c r="S22" s="2340"/>
      <c r="T22" s="2297"/>
      <c r="U22" s="1875"/>
      <c r="V22" s="1875"/>
    </row>
    <row r="23" spans="1:245" ht="15.95" customHeight="1">
      <c r="A23" s="2283" t="s">
        <v>71</v>
      </c>
      <c r="B23" s="1400">
        <f>+'EXHIBIT L'!N22</f>
        <v>4.5</v>
      </c>
      <c r="C23" s="1982"/>
      <c r="D23" s="1400">
        <f>+'EXHIBIT L'!AA22</f>
        <v>34.200000000000003</v>
      </c>
      <c r="E23" s="1982"/>
      <c r="F23" s="2317">
        <f>+'EXHIBIT M'!N22</f>
        <v>0</v>
      </c>
      <c r="G23" s="1982"/>
      <c r="H23" s="2318">
        <f>+'EXHIBIT M'!AA22</f>
        <v>0.1</v>
      </c>
      <c r="I23" s="2314"/>
      <c r="J23" s="2319">
        <f>SUM(B23)+SUM(F23)</f>
        <v>4.5</v>
      </c>
      <c r="K23" s="1982"/>
      <c r="L23" s="2320">
        <f>SUM(D23)+SUM(H23)</f>
        <v>34.300000000000004</v>
      </c>
      <c r="M23" s="2314"/>
      <c r="N23" s="2321">
        <v>4.3</v>
      </c>
      <c r="O23" s="1982"/>
      <c r="P23" s="2321">
        <f>'EXHIBIT L'!AD22+'EXHIBIT M'!AD22</f>
        <v>32.9</v>
      </c>
      <c r="R23" s="2300"/>
      <c r="S23" s="2340">
        <f>ROUND(SUM(L23-P23),1)</f>
        <v>1.4</v>
      </c>
      <c r="T23" s="2297"/>
      <c r="U23" s="3114">
        <f>ROUND(IF(S23=0,0,S23/(P23)),3)</f>
        <v>4.2999999999999997E-2</v>
      </c>
      <c r="V23" s="1875"/>
    </row>
    <row r="24" spans="1:245" ht="15.95" customHeight="1">
      <c r="A24" s="2283" t="s">
        <v>72</v>
      </c>
      <c r="B24" s="1400">
        <f>+'EXHIBIT L'!N23</f>
        <v>0.5</v>
      </c>
      <c r="C24" s="1982"/>
      <c r="D24" s="2321">
        <f>+'EXHIBIT L'!AA23</f>
        <v>5.8</v>
      </c>
      <c r="E24" s="1982"/>
      <c r="F24" s="2317">
        <f>+'EXHIBIT M'!N23</f>
        <v>0</v>
      </c>
      <c r="G24" s="1982"/>
      <c r="H24" s="2318">
        <f>+'EXHIBIT M'!AA23</f>
        <v>0</v>
      </c>
      <c r="I24" s="2314"/>
      <c r="J24" s="2319">
        <f>SUM(B24)+SUM(F24)</f>
        <v>0.5</v>
      </c>
      <c r="K24" s="1982"/>
      <c r="L24" s="2320">
        <f>SUM(D24)+SUM(H24)</f>
        <v>5.8</v>
      </c>
      <c r="M24" s="2314"/>
      <c r="N24" s="2322">
        <v>0.7</v>
      </c>
      <c r="O24" s="2314"/>
      <c r="P24" s="2321">
        <f>'EXHIBIT L'!AD23+'EXHIBIT M'!AD23</f>
        <v>6.9</v>
      </c>
      <c r="R24" s="2300"/>
      <c r="S24" s="2340">
        <f>ROUND(SUM(L24-P24),1)</f>
        <v>-1.1000000000000001</v>
      </c>
      <c r="T24" s="2297"/>
      <c r="U24" s="3114">
        <f>ROUND(IF(S24=0,0,S24/(P24)),3)</f>
        <v>-0.159</v>
      </c>
      <c r="V24" s="1875"/>
    </row>
    <row r="25" spans="1:245" ht="15.95" customHeight="1">
      <c r="A25" s="2283" t="s">
        <v>73</v>
      </c>
      <c r="B25" s="1400">
        <f>+'EXHIBIT L'!N24</f>
        <v>0</v>
      </c>
      <c r="C25" s="1982"/>
      <c r="D25" s="2322">
        <f>+'EXHIBIT L'!AA24</f>
        <v>12.8</v>
      </c>
      <c r="E25" s="1982"/>
      <c r="F25" s="2317">
        <f>+'EXHIBIT M'!N24</f>
        <v>0</v>
      </c>
      <c r="G25" s="1982"/>
      <c r="H25" s="2323">
        <f>+'EXHIBIT M'!AA24</f>
        <v>0.1</v>
      </c>
      <c r="I25" s="2314"/>
      <c r="J25" s="2319">
        <f>SUM(B25)+SUM(F25)</f>
        <v>0</v>
      </c>
      <c r="K25" s="1982"/>
      <c r="L25" s="2324">
        <f>SUM(D25)+SUM(H25)</f>
        <v>12.9</v>
      </c>
      <c r="M25" s="2314"/>
      <c r="N25" s="2322">
        <v>0.1</v>
      </c>
      <c r="O25" s="2325"/>
      <c r="P25" s="2321">
        <f>'EXHIBIT L'!AD24+'EXHIBIT M'!AD24</f>
        <v>15.2</v>
      </c>
      <c r="R25" s="2300"/>
      <c r="S25" s="2340">
        <f>ROUND(SUM(L25-P25),1)</f>
        <v>-2.2999999999999998</v>
      </c>
      <c r="T25" s="2297"/>
      <c r="U25" s="3166">
        <f>ROUND(IF(S25=0,0,S25/(P25)),3)</f>
        <v>-0.151</v>
      </c>
      <c r="V25" s="1875"/>
    </row>
    <row r="26" spans="1:245" ht="15.75">
      <c r="A26" s="310" t="s">
        <v>61</v>
      </c>
      <c r="B26" s="316">
        <f>ROUND(SUM(B23:B25),1)</f>
        <v>5</v>
      </c>
      <c r="C26" s="317"/>
      <c r="D26" s="316">
        <f>ROUND(SUM(D23:D25),1)</f>
        <v>52.8</v>
      </c>
      <c r="E26" s="317"/>
      <c r="F26" s="316">
        <f>ROUND(SUM(F23:F25),1)</f>
        <v>0</v>
      </c>
      <c r="G26" s="317"/>
      <c r="H26" s="319">
        <f>ROUND(SUM(H23:H25),1)</f>
        <v>0.2</v>
      </c>
      <c r="I26" s="320"/>
      <c r="J26" s="321">
        <f>ROUND(SUM(J23:J25),1)</f>
        <v>5</v>
      </c>
      <c r="K26" s="317"/>
      <c r="L26" s="319">
        <f>ROUND(SUM(L23:L25),1)</f>
        <v>53</v>
      </c>
      <c r="M26" s="320"/>
      <c r="N26" s="316">
        <f>ROUND(SUM(N23:N25),1)</f>
        <v>5.0999999999999996</v>
      </c>
      <c r="O26" s="317"/>
      <c r="P26" s="316">
        <f>ROUND(SUM(P23:P25),1)</f>
        <v>55</v>
      </c>
      <c r="Q26" s="1618"/>
      <c r="R26" s="2278"/>
      <c r="S26" s="2341">
        <f>ROUND(SUM(S23:S25),3)</f>
        <v>-2</v>
      </c>
      <c r="T26" s="1242"/>
      <c r="U26" s="3246">
        <f>ROUND(S26/P26,3)</f>
        <v>-3.5999999999999997E-2</v>
      </c>
      <c r="V26" s="1875"/>
    </row>
    <row r="27" spans="1:245" ht="15.75">
      <c r="A27" s="310"/>
      <c r="B27" s="1982"/>
      <c r="C27" s="1982"/>
      <c r="D27" s="1982"/>
      <c r="E27" s="1982"/>
      <c r="F27" s="1982"/>
      <c r="G27" s="1982"/>
      <c r="H27" s="2316"/>
      <c r="I27" s="2314"/>
      <c r="J27" s="2315"/>
      <c r="K27" s="1982"/>
      <c r="L27" s="2316"/>
      <c r="M27" s="2314"/>
      <c r="N27" s="2314"/>
      <c r="O27" s="1982"/>
      <c r="P27" s="2314"/>
      <c r="R27" s="2300"/>
      <c r="S27" s="2340"/>
      <c r="T27" s="2297"/>
      <c r="U27" s="1875"/>
      <c r="V27" s="1875"/>
    </row>
    <row r="28" spans="1:245" ht="15.95" customHeight="1">
      <c r="A28" s="310" t="s">
        <v>45</v>
      </c>
      <c r="B28" s="1982"/>
      <c r="C28" s="1982"/>
      <c r="D28" s="1982"/>
      <c r="E28" s="1982"/>
      <c r="F28" s="1982"/>
      <c r="G28" s="1982"/>
      <c r="H28" s="2316"/>
      <c r="I28" s="2314"/>
      <c r="J28" s="2315"/>
      <c r="K28" s="1982"/>
      <c r="L28" s="2316"/>
      <c r="M28" s="2314"/>
      <c r="N28" s="2314"/>
      <c r="O28" s="1982"/>
      <c r="P28" s="2314"/>
      <c r="R28" s="2300"/>
      <c r="S28" s="2340"/>
      <c r="T28" s="2297"/>
      <c r="U28" s="1875"/>
      <c r="V28" s="1875"/>
    </row>
    <row r="29" spans="1:245" ht="15.75">
      <c r="A29" s="310" t="s">
        <v>75</v>
      </c>
      <c r="B29" s="326">
        <f>ROUND(SUM(B19-B26),1)</f>
        <v>-0.5</v>
      </c>
      <c r="C29" s="317"/>
      <c r="D29" s="326">
        <f>ROUND(SUM(D19-D26),1)</f>
        <v>2.2000000000000002</v>
      </c>
      <c r="E29" s="317"/>
      <c r="F29" s="326">
        <f>ROUND(SUM(F19-F26),1)</f>
        <v>0.1</v>
      </c>
      <c r="G29" s="317"/>
      <c r="H29" s="327">
        <f>ROUND(SUM(H19-H26),1)</f>
        <v>0.5</v>
      </c>
      <c r="I29" s="320"/>
      <c r="J29" s="328">
        <f>ROUND(SUM(J19-J26),1)</f>
        <v>-0.4</v>
      </c>
      <c r="K29" s="320"/>
      <c r="L29" s="327">
        <f>ROUND(SUM(L19-L26),1)</f>
        <v>2.7</v>
      </c>
      <c r="M29" s="320"/>
      <c r="N29" s="326">
        <f>ROUND(SUM(N19-N26),1)</f>
        <v>0.2</v>
      </c>
      <c r="O29" s="320"/>
      <c r="P29" s="326">
        <f>ROUND(SUM(P19-P26),1)</f>
        <v>3.8</v>
      </c>
      <c r="Q29" s="1618"/>
      <c r="R29" s="2300"/>
      <c r="S29" s="2344">
        <f>ROUND(SUM(L29-P29),1)</f>
        <v>-1.1000000000000001</v>
      </c>
      <c r="T29" s="2297"/>
      <c r="U29" s="3246">
        <f>ROUND(S29/P29,3)</f>
        <v>-0.28899999999999998</v>
      </c>
      <c r="V29" s="1875"/>
    </row>
    <row r="30" spans="1:245">
      <c r="A30" s="2283"/>
      <c r="B30" s="1982"/>
      <c r="C30" s="1982"/>
      <c r="D30" s="1982"/>
      <c r="E30" s="1982"/>
      <c r="F30" s="1982"/>
      <c r="G30" s="1982"/>
      <c r="H30" s="2316"/>
      <c r="I30" s="2314"/>
      <c r="J30" s="2315"/>
      <c r="K30" s="1982"/>
      <c r="L30" s="2316"/>
      <c r="M30" s="2314"/>
      <c r="N30" s="2314"/>
      <c r="O30" s="1982"/>
      <c r="P30" s="2314"/>
      <c r="R30" s="2300"/>
      <c r="S30" s="2340"/>
      <c r="T30" s="2297"/>
      <c r="U30" s="1875"/>
      <c r="V30" s="1875"/>
    </row>
    <row r="31" spans="1:245" ht="15.95" customHeight="1">
      <c r="A31" s="310" t="s">
        <v>47</v>
      </c>
      <c r="B31" s="1982"/>
      <c r="C31" s="1982"/>
      <c r="D31" s="1982"/>
      <c r="E31" s="1982"/>
      <c r="F31" s="1982"/>
      <c r="G31" s="1982"/>
      <c r="H31" s="2316"/>
      <c r="I31" s="2314"/>
      <c r="J31" s="2315"/>
      <c r="K31" s="1982"/>
      <c r="L31" s="2316"/>
      <c r="M31" s="2314"/>
      <c r="N31" s="2314"/>
      <c r="O31" s="1982"/>
      <c r="P31" s="2314"/>
      <c r="R31" s="2300"/>
      <c r="S31" s="2340"/>
      <c r="T31" s="2297"/>
      <c r="U31" s="1875"/>
      <c r="V31" s="1875"/>
    </row>
    <row r="32" spans="1:245" ht="15.95" customHeight="1">
      <c r="A32" s="2283" t="s">
        <v>49</v>
      </c>
      <c r="B32" s="2317">
        <f>+'EXHIBIT L'!N31</f>
        <v>0</v>
      </c>
      <c r="C32" s="1982"/>
      <c r="D32" s="2317">
        <f>+'EXHIBIT L'!AA31</f>
        <v>0</v>
      </c>
      <c r="E32" s="1982"/>
      <c r="F32" s="2317">
        <f>+'EXHIBIT M'!N31</f>
        <v>0</v>
      </c>
      <c r="G32" s="1400"/>
      <c r="H32" s="2326">
        <f>+'EXHIBIT M'!AA31</f>
        <v>0</v>
      </c>
      <c r="I32" s="2314"/>
      <c r="J32" s="2327">
        <f>SUM(B32)+SUM(F32)</f>
        <v>0</v>
      </c>
      <c r="K32" s="1982"/>
      <c r="L32" s="2318">
        <f>SUM(D32)+SUM(H32)</f>
        <v>0</v>
      </c>
      <c r="M32" s="2314"/>
      <c r="N32" s="2322">
        <v>0</v>
      </c>
      <c r="O32" s="2314"/>
      <c r="P32" s="2322">
        <f>+'EXHIBIT L'!AD31+'EXHIBIT M'!AD31</f>
        <v>0</v>
      </c>
      <c r="R32" s="2328"/>
      <c r="S32" s="2340">
        <f>ROUND(SUM(L32-P32),1)</f>
        <v>0</v>
      </c>
      <c r="T32" s="1310"/>
      <c r="U32" s="3114">
        <f>ROUND(IF(S32=0,0,S32/(P32)),3)</f>
        <v>0</v>
      </c>
      <c r="V32" s="1875"/>
    </row>
    <row r="33" spans="1:245" ht="15.95" customHeight="1">
      <c r="A33" s="2283" t="s">
        <v>76</v>
      </c>
      <c r="B33" s="2317">
        <f>+'EXHIBIT L'!N32</f>
        <v>0</v>
      </c>
      <c r="C33" s="1982"/>
      <c r="D33" s="2329">
        <f>+'EXHIBIT L'!AA32</f>
        <v>0</v>
      </c>
      <c r="E33" s="1982"/>
      <c r="F33" s="2317">
        <f>+'EXHIBIT M'!N32</f>
        <v>0</v>
      </c>
      <c r="G33" s="1982"/>
      <c r="H33" s="2326">
        <f>+'EXHIBIT M'!AA32</f>
        <v>0</v>
      </c>
      <c r="I33" s="2314"/>
      <c r="J33" s="2327">
        <f>SUM(B33)+SUM(F33)</f>
        <v>0</v>
      </c>
      <c r="K33" s="1982"/>
      <c r="L33" s="2330">
        <f>SUM(D33)+SUM(H33)</f>
        <v>0</v>
      </c>
      <c r="M33" s="2314"/>
      <c r="N33" s="2331">
        <v>0</v>
      </c>
      <c r="O33" s="2325"/>
      <c r="P33" s="2331">
        <f>+'EXHIBIT L'!AD32+'EXHIBIT M'!AD32</f>
        <v>0</v>
      </c>
      <c r="R33" s="2332"/>
      <c r="S33" s="2340">
        <f>ROUND(SUM(L33-P33),1)</f>
        <v>0</v>
      </c>
      <c r="T33" s="1310"/>
      <c r="U33" s="3114">
        <f>ROUND(IF(S33=0,0,S33/(P33)),3)</f>
        <v>0</v>
      </c>
      <c r="V33" s="1875"/>
    </row>
    <row r="34" spans="1:245" ht="15.75">
      <c r="A34" s="310" t="s">
        <v>52</v>
      </c>
      <c r="B34" s="329">
        <f>ROUND(SUM(B32:B33),1)</f>
        <v>0</v>
      </c>
      <c r="C34" s="317"/>
      <c r="D34" s="329">
        <f>ROUND(SUM(D32:D33),1)</f>
        <v>0</v>
      </c>
      <c r="E34" s="317"/>
      <c r="F34" s="329">
        <f>ROUND(SUM(F32:F33),1)</f>
        <v>0</v>
      </c>
      <c r="G34" s="317"/>
      <c r="H34" s="330">
        <f>ROUND(SUM(H32:H33),1)</f>
        <v>0</v>
      </c>
      <c r="I34" s="320"/>
      <c r="J34" s="331">
        <f>ROUND(SUM(J32:J33),1)</f>
        <v>0</v>
      </c>
      <c r="K34" s="317"/>
      <c r="L34" s="319">
        <f>ROUND(SUM(L32:L33),1)</f>
        <v>0</v>
      </c>
      <c r="M34" s="320"/>
      <c r="N34" s="316">
        <f>ROUND(SUM(N32:N33),1)</f>
        <v>0</v>
      </c>
      <c r="O34" s="317"/>
      <c r="P34" s="316">
        <f>ROUND(SUM(P32:P33),1)</f>
        <v>0</v>
      </c>
      <c r="R34" s="2333"/>
      <c r="S34" s="287">
        <f>ROUND(SUM(S32-S33),3)</f>
        <v>0</v>
      </c>
      <c r="T34" s="3139"/>
      <c r="U34" s="2398">
        <f>ROUND(IF(P34=0,0,S34/(P34)),3)</f>
        <v>0</v>
      </c>
      <c r="V34" s="1875"/>
    </row>
    <row r="35" spans="1:245" ht="15.75">
      <c r="A35" s="310"/>
      <c r="B35" s="2334"/>
      <c r="C35" s="1982"/>
      <c r="D35" s="2334"/>
      <c r="E35" s="1982"/>
      <c r="F35" s="2314"/>
      <c r="G35" s="1982"/>
      <c r="H35" s="2316"/>
      <c r="I35" s="2314"/>
      <c r="J35" s="2315"/>
      <c r="K35" s="1982"/>
      <c r="L35" s="2335"/>
      <c r="M35" s="2314"/>
      <c r="N35" s="2314"/>
      <c r="O35" s="1982"/>
      <c r="P35" s="2314"/>
      <c r="R35" s="2300"/>
      <c r="S35" s="2340"/>
      <c r="T35" s="2297"/>
      <c r="U35" s="1875"/>
      <c r="V35" s="1875"/>
    </row>
    <row r="36" spans="1:245" ht="15.75" customHeight="1">
      <c r="A36" s="310" t="s">
        <v>45</v>
      </c>
      <c r="B36" s="1982"/>
      <c r="C36" s="1982"/>
      <c r="D36" s="1982"/>
      <c r="E36" s="1982"/>
      <c r="F36" s="1982"/>
      <c r="G36" s="1982"/>
      <c r="H36" s="2316"/>
      <c r="I36" s="2314"/>
      <c r="J36" s="2315"/>
      <c r="K36" s="1982"/>
      <c r="L36" s="2316"/>
      <c r="M36" s="2314"/>
      <c r="N36" s="2314"/>
      <c r="O36" s="1982"/>
      <c r="P36" s="2314"/>
      <c r="R36" s="2300"/>
      <c r="S36" s="2340"/>
      <c r="T36" s="2297"/>
      <c r="U36" s="1875"/>
      <c r="V36" s="1875"/>
    </row>
    <row r="37" spans="1:245" ht="15.75" customHeight="1">
      <c r="A37" s="310" t="s">
        <v>77</v>
      </c>
      <c r="B37" s="1982"/>
      <c r="C37" s="1982"/>
      <c r="D37" s="1982"/>
      <c r="E37" s="1982"/>
      <c r="F37" s="1982"/>
      <c r="G37" s="1982"/>
      <c r="H37" s="2316"/>
      <c r="I37" s="2314"/>
      <c r="J37" s="2315"/>
      <c r="K37" s="1982"/>
      <c r="L37" s="2316"/>
      <c r="M37" s="2314"/>
      <c r="N37" s="2314"/>
      <c r="O37" s="1982"/>
      <c r="P37" s="2314"/>
      <c r="R37" s="2300"/>
      <c r="S37" s="2340"/>
      <c r="T37" s="2297"/>
      <c r="U37" s="1875"/>
      <c r="V37" s="1875"/>
    </row>
    <row r="38" spans="1:245" ht="15.75" customHeight="1">
      <c r="A38" s="310" t="s">
        <v>78</v>
      </c>
      <c r="B38" s="1982"/>
      <c r="C38" s="1982"/>
      <c r="D38" s="1982"/>
      <c r="E38" s="1982"/>
      <c r="F38" s="2336"/>
      <c r="G38" s="1982"/>
      <c r="H38" s="2316"/>
      <c r="I38" s="2314"/>
      <c r="J38" s="2315"/>
      <c r="K38" s="1982"/>
      <c r="L38" s="2316"/>
      <c r="M38" s="2314"/>
      <c r="N38" s="2314"/>
      <c r="O38" s="1982"/>
      <c r="P38" s="2314"/>
      <c r="R38" s="2300"/>
      <c r="S38" s="2340"/>
      <c r="T38" s="2297"/>
      <c r="U38" s="1875"/>
      <c r="V38" s="1875"/>
    </row>
    <row r="39" spans="1:245" ht="15.75" customHeight="1">
      <c r="A39" s="310" t="s">
        <v>79</v>
      </c>
      <c r="B39" s="334">
        <f>ROUND(SUM(B29+B34),1)</f>
        <v>-0.5</v>
      </c>
      <c r="C39" s="317"/>
      <c r="D39" s="334">
        <f>ROUND(SUM(D29+D34),1)</f>
        <v>2.2000000000000002</v>
      </c>
      <c r="E39" s="317"/>
      <c r="F39" s="334">
        <f>ROUND(SUM(F29+F34),1)</f>
        <v>0.1</v>
      </c>
      <c r="G39" s="317"/>
      <c r="H39" s="335">
        <f>ROUND(SUM(H29+H34),1)</f>
        <v>0.5</v>
      </c>
      <c r="I39" s="320"/>
      <c r="J39" s="336">
        <f>ROUND(SUM(J29+J34),1)</f>
        <v>-0.4</v>
      </c>
      <c r="K39" s="317"/>
      <c r="L39" s="335">
        <f>ROUND(SUM(L29+L34),1)</f>
        <v>2.7</v>
      </c>
      <c r="M39" s="320"/>
      <c r="N39" s="334">
        <f>ROUND(SUM(N29+N34),1)</f>
        <v>0.2</v>
      </c>
      <c r="O39" s="320"/>
      <c r="P39" s="334">
        <f>ROUND(SUM(P29+P34),1)</f>
        <v>3.8</v>
      </c>
      <c r="Q39" s="1618"/>
      <c r="R39" s="2300"/>
      <c r="S39" s="294">
        <f>ROUND(SUM(S29,S34),1)</f>
        <v>-1.1000000000000001</v>
      </c>
      <c r="T39" s="296"/>
      <c r="U39" s="3115">
        <f>ROUND(IF(S39=0,0,S39/(P39)),3)</f>
        <v>-0.28899999999999998</v>
      </c>
      <c r="V39" s="1875"/>
    </row>
    <row r="40" spans="1:245" ht="15.75">
      <c r="A40" s="310"/>
      <c r="B40" s="1982"/>
      <c r="C40" s="1982"/>
      <c r="D40" s="1982"/>
      <c r="E40" s="1982"/>
      <c r="F40" s="1982"/>
      <c r="G40" s="1982"/>
      <c r="H40" s="2316"/>
      <c r="I40" s="2314"/>
      <c r="J40" s="2315"/>
      <c r="K40" s="1982"/>
      <c r="L40" s="2316"/>
      <c r="M40" s="2314"/>
      <c r="N40" s="2314"/>
      <c r="O40" s="1982"/>
      <c r="P40" s="2314"/>
      <c r="R40" s="2300"/>
      <c r="S40" s="2150"/>
      <c r="T40" s="3126"/>
      <c r="U40" s="2150"/>
      <c r="V40" s="1875"/>
    </row>
    <row r="41" spans="1:245" s="1618" customFormat="1" ht="15.75">
      <c r="A41" s="310" t="s">
        <v>55</v>
      </c>
      <c r="B41" s="337">
        <v>-1.2</v>
      </c>
      <c r="C41" s="317"/>
      <c r="D41" s="337">
        <f>+'EXHIBIT L'!AA13</f>
        <v>-3.9</v>
      </c>
      <c r="E41" s="317"/>
      <c r="F41" s="337">
        <f>'EXHIBIT M'!J13</f>
        <v>11.3</v>
      </c>
      <c r="G41" s="317"/>
      <c r="H41" s="338">
        <f>+'EXHIBIT M'!AA13</f>
        <v>10.9</v>
      </c>
      <c r="I41" s="320"/>
      <c r="J41" s="339">
        <f>ROUND(SUM(B41)+SUM(F41),1)</f>
        <v>10.1</v>
      </c>
      <c r="K41" s="317"/>
      <c r="L41" s="335">
        <f>ROUND(SUM(D41+H41),1)</f>
        <v>7</v>
      </c>
      <c r="M41" s="320"/>
      <c r="N41" s="326">
        <v>10.199999999999999</v>
      </c>
      <c r="O41" s="317"/>
      <c r="P41" s="326">
        <f>'EXHIBIT L'!AD13+'EXHIBIT M'!AD13</f>
        <v>6.6000000000000005</v>
      </c>
      <c r="R41" s="2279"/>
      <c r="S41" s="294">
        <f>ROUND(SUM(+L41-P41),1)</f>
        <v>0.4</v>
      </c>
      <c r="T41" s="296"/>
      <c r="U41" s="3116">
        <f>ROUND(IF(S41=0,0,S41/(P41)),3)</f>
        <v>6.0999999999999999E-2</v>
      </c>
      <c r="V41" s="2337"/>
    </row>
    <row r="42" spans="1:245" ht="16.5" thickBot="1">
      <c r="A42" s="310" t="s">
        <v>81</v>
      </c>
      <c r="B42" s="340">
        <f>ROUND(SUM(B41)+SUM(B39),1)</f>
        <v>-1.7</v>
      </c>
      <c r="C42" s="341"/>
      <c r="D42" s="340">
        <f>ROUND(SUM(D41)+SUM(D39),1)</f>
        <v>-1.7</v>
      </c>
      <c r="E42" s="341"/>
      <c r="F42" s="342">
        <f>ROUND(SUM(F41)+SUM(F39),1)</f>
        <v>11.4</v>
      </c>
      <c r="G42" s="343"/>
      <c r="H42" s="1767">
        <f>ROUND(SUM(H41)+SUM(H39),1)</f>
        <v>11.4</v>
      </c>
      <c r="I42" s="1768"/>
      <c r="J42" s="1767">
        <f>ROUND(SUM(J41)+SUM(J39),1)</f>
        <v>9.6999999999999993</v>
      </c>
      <c r="K42" s="345"/>
      <c r="L42" s="344">
        <f>ROUND(SUM(L41)+SUM(L39),1)</f>
        <v>9.6999999999999993</v>
      </c>
      <c r="M42" s="345"/>
      <c r="N42" s="1767">
        <f>ROUND(SUM(N41)+SUM(N39),1)</f>
        <v>10.4</v>
      </c>
      <c r="O42" s="345"/>
      <c r="P42" s="1767">
        <f>ROUND(SUM(P41)+SUM(P39),1)</f>
        <v>10.4</v>
      </c>
      <c r="Q42" s="497"/>
      <c r="R42" s="2308"/>
      <c r="S42" s="3080">
        <f>ROUND(SUM(S39+S41),3)</f>
        <v>-0.7</v>
      </c>
      <c r="T42" s="2653"/>
      <c r="U42" s="3247">
        <f>ROUND(S42/P42,3)</f>
        <v>-6.7000000000000004E-2</v>
      </c>
      <c r="V42" s="1875"/>
    </row>
    <row r="43" spans="1:245" ht="15.75" thickTop="1">
      <c r="A43" s="2283"/>
      <c r="B43" s="2338"/>
      <c r="C43" s="2307"/>
      <c r="D43" s="2338"/>
      <c r="E43" s="2307"/>
      <c r="F43" s="2338"/>
      <c r="G43" s="2307"/>
      <c r="H43" s="2338"/>
      <c r="I43" s="2309"/>
      <c r="J43" s="2338"/>
      <c r="K43" s="2307"/>
      <c r="L43" s="2338"/>
      <c r="M43" s="2307"/>
      <c r="N43" s="2338"/>
      <c r="O43" s="2307"/>
      <c r="P43" s="2338"/>
      <c r="Q43" s="2307"/>
      <c r="R43" s="2339"/>
      <c r="S43" s="2310"/>
      <c r="T43" s="2339"/>
      <c r="U43" s="2310"/>
      <c r="V43" s="2310"/>
      <c r="W43" s="2311"/>
      <c r="X43" s="2311"/>
      <c r="Y43" s="2311"/>
      <c r="Z43" s="2311"/>
      <c r="AA43" s="2311"/>
      <c r="AB43" s="2311"/>
      <c r="AC43" s="2311"/>
      <c r="AD43" s="2311"/>
      <c r="AE43" s="2311"/>
      <c r="AF43" s="2311"/>
      <c r="AG43" s="2311"/>
      <c r="AH43" s="2311"/>
      <c r="AI43" s="2311"/>
      <c r="AJ43" s="2311"/>
      <c r="AK43" s="2311"/>
      <c r="AL43" s="2311"/>
      <c r="AM43" s="2311"/>
      <c r="AN43" s="2311"/>
      <c r="AO43" s="2311"/>
      <c r="AP43" s="2311"/>
      <c r="AQ43" s="2311"/>
      <c r="AR43" s="2311"/>
      <c r="AS43" s="2311"/>
      <c r="AT43" s="2311"/>
      <c r="AU43" s="2311"/>
      <c r="AV43" s="2311"/>
      <c r="AW43" s="2311"/>
      <c r="AX43" s="2311"/>
      <c r="AY43" s="2311"/>
      <c r="AZ43" s="2311"/>
      <c r="BA43" s="2311"/>
      <c r="BB43" s="2311"/>
      <c r="BC43" s="2311"/>
      <c r="BD43" s="2311"/>
      <c r="BE43" s="2311"/>
      <c r="BF43" s="2311"/>
      <c r="BG43" s="2311"/>
      <c r="BH43" s="2311"/>
      <c r="BI43" s="2311"/>
      <c r="BJ43" s="2311"/>
      <c r="BK43" s="2311"/>
      <c r="BL43" s="2311"/>
      <c r="BM43" s="2311"/>
      <c r="BN43" s="2311"/>
      <c r="BO43" s="2311"/>
      <c r="BP43" s="2311"/>
      <c r="BQ43" s="2311"/>
      <c r="BR43" s="2311"/>
      <c r="BS43" s="2311"/>
      <c r="BT43" s="2311"/>
      <c r="BU43" s="2311"/>
      <c r="BV43" s="2311"/>
      <c r="BW43" s="2311"/>
      <c r="BX43" s="2311"/>
      <c r="BY43" s="2311"/>
      <c r="BZ43" s="2311"/>
      <c r="CA43" s="2311"/>
      <c r="CB43" s="2311"/>
      <c r="CC43" s="2311"/>
      <c r="CD43" s="2311"/>
      <c r="CE43" s="2311"/>
      <c r="CF43" s="2311"/>
      <c r="CG43" s="2311"/>
      <c r="CH43" s="2311"/>
      <c r="CI43" s="2311"/>
      <c r="CJ43" s="2311"/>
      <c r="CK43" s="2311"/>
      <c r="CL43" s="2311"/>
      <c r="CM43" s="2311"/>
      <c r="CN43" s="2311"/>
      <c r="CO43" s="2311"/>
      <c r="CP43" s="2311"/>
      <c r="CQ43" s="2311"/>
      <c r="CR43" s="2311"/>
      <c r="CS43" s="2311"/>
      <c r="CT43" s="2311"/>
      <c r="CU43" s="2311"/>
      <c r="CV43" s="2311"/>
      <c r="CW43" s="2311"/>
      <c r="CX43" s="2311"/>
      <c r="CY43" s="2311"/>
      <c r="CZ43" s="2311"/>
      <c r="DA43" s="2311"/>
      <c r="DB43" s="2311"/>
      <c r="DC43" s="2311"/>
      <c r="DD43" s="2311"/>
      <c r="DE43" s="2311"/>
      <c r="DF43" s="2311"/>
      <c r="DG43" s="2311"/>
      <c r="DH43" s="2311"/>
      <c r="DI43" s="2311"/>
      <c r="DJ43" s="2311"/>
      <c r="DK43" s="2311"/>
      <c r="DL43" s="2311"/>
      <c r="DM43" s="2311"/>
      <c r="DN43" s="2311"/>
      <c r="DO43" s="2311"/>
      <c r="DP43" s="2311"/>
      <c r="DQ43" s="2311"/>
      <c r="DR43" s="2311"/>
      <c r="DS43" s="2311"/>
      <c r="DT43" s="2311"/>
      <c r="DU43" s="2311"/>
      <c r="DV43" s="2311"/>
      <c r="DW43" s="2311"/>
      <c r="DX43" s="2311"/>
      <c r="DY43" s="2311"/>
      <c r="DZ43" s="2311"/>
      <c r="EA43" s="2311"/>
      <c r="EB43" s="2311"/>
      <c r="EC43" s="2311"/>
      <c r="ED43" s="2311"/>
      <c r="EE43" s="2311"/>
      <c r="EF43" s="2311"/>
      <c r="EG43" s="2311"/>
      <c r="EH43" s="2311"/>
      <c r="EI43" s="2311"/>
      <c r="EJ43" s="2311"/>
      <c r="EK43" s="2311"/>
      <c r="EL43" s="2311"/>
      <c r="EM43" s="2311"/>
      <c r="EN43" s="2311"/>
      <c r="EO43" s="2311"/>
      <c r="EP43" s="2311"/>
      <c r="EQ43" s="2311"/>
      <c r="ER43" s="2311"/>
      <c r="ES43" s="2311"/>
      <c r="ET43" s="2311"/>
      <c r="EU43" s="2311"/>
      <c r="EV43" s="2311"/>
      <c r="EW43" s="2311"/>
      <c r="EX43" s="2311"/>
      <c r="EY43" s="2311"/>
      <c r="EZ43" s="2311"/>
      <c r="FA43" s="2311"/>
      <c r="FB43" s="2311"/>
      <c r="FC43" s="2311"/>
      <c r="FD43" s="2311"/>
      <c r="FE43" s="2311"/>
      <c r="FF43" s="2311"/>
      <c r="FG43" s="2311"/>
      <c r="FH43" s="2311"/>
      <c r="FI43" s="2311"/>
      <c r="FJ43" s="2311"/>
      <c r="FK43" s="2311"/>
      <c r="FL43" s="2311"/>
      <c r="FM43" s="2311"/>
      <c r="FN43" s="2311"/>
      <c r="FO43" s="2311"/>
      <c r="FP43" s="2311"/>
      <c r="FQ43" s="2311"/>
      <c r="FR43" s="2311"/>
      <c r="FS43" s="2311"/>
      <c r="FT43" s="2311"/>
      <c r="FU43" s="2311"/>
      <c r="FV43" s="2311"/>
      <c r="FW43" s="2311"/>
      <c r="FX43" s="2311"/>
      <c r="FY43" s="2311"/>
      <c r="FZ43" s="2311"/>
      <c r="GA43" s="2311"/>
      <c r="GB43" s="2311"/>
      <c r="GC43" s="2311"/>
      <c r="GD43" s="2311"/>
      <c r="GE43" s="2311"/>
      <c r="GF43" s="2311"/>
      <c r="GG43" s="2311"/>
      <c r="GH43" s="2311"/>
      <c r="GI43" s="2311"/>
      <c r="GJ43" s="2311"/>
      <c r="GK43" s="2311"/>
      <c r="GL43" s="2311"/>
      <c r="GM43" s="2311"/>
      <c r="GN43" s="2311"/>
      <c r="GO43" s="2311"/>
      <c r="GP43" s="2311"/>
      <c r="GQ43" s="2311"/>
      <c r="GR43" s="2311"/>
      <c r="GS43" s="2311"/>
      <c r="GT43" s="2311"/>
      <c r="GU43" s="2311"/>
      <c r="GV43" s="2311"/>
      <c r="GW43" s="2311"/>
      <c r="GX43" s="2311"/>
      <c r="GY43" s="2311"/>
      <c r="GZ43" s="2311"/>
      <c r="HA43" s="2311"/>
      <c r="HB43" s="2311"/>
      <c r="HC43" s="2311"/>
      <c r="HD43" s="2311"/>
      <c r="HE43" s="2311"/>
      <c r="HF43" s="2311"/>
      <c r="HG43" s="2311"/>
      <c r="HH43" s="2311"/>
      <c r="HI43" s="2311"/>
      <c r="HJ43" s="2311"/>
      <c r="HK43" s="2311"/>
      <c r="HL43" s="2311"/>
      <c r="HM43" s="2311"/>
      <c r="HN43" s="2311"/>
      <c r="HO43" s="2311"/>
      <c r="HP43" s="2311"/>
      <c r="HQ43" s="2311"/>
      <c r="HR43" s="2311"/>
      <c r="HS43" s="2311"/>
      <c r="HT43" s="2311"/>
      <c r="HU43" s="2311"/>
      <c r="HV43" s="2311"/>
      <c r="HW43" s="2311"/>
      <c r="HX43" s="2311"/>
      <c r="HY43" s="2311"/>
      <c r="HZ43" s="2311"/>
      <c r="IA43" s="2311"/>
      <c r="IB43" s="2311"/>
      <c r="IC43" s="2311"/>
      <c r="ID43" s="2311"/>
      <c r="IE43" s="2311"/>
      <c r="IF43" s="2311"/>
      <c r="IG43" s="2311"/>
      <c r="IH43" s="2311"/>
      <c r="II43" s="2311"/>
      <c r="IJ43" s="2311"/>
      <c r="IK43" s="2311"/>
    </row>
    <row r="44" spans="1:245">
      <c r="A44" s="2283"/>
      <c r="B44" s="2283"/>
      <c r="C44" s="2283"/>
      <c r="D44" s="2283"/>
      <c r="E44" s="2283"/>
      <c r="F44" s="2281"/>
      <c r="G44" s="2283"/>
      <c r="H44" s="2283"/>
      <c r="I44" s="2283"/>
      <c r="J44" s="2283"/>
      <c r="K44" s="2283"/>
      <c r="L44" s="2283"/>
      <c r="M44" s="2283"/>
      <c r="N44" s="2283"/>
      <c r="O44" s="2283"/>
      <c r="P44" s="2283"/>
      <c r="Q44" s="2283"/>
      <c r="R44" s="2284"/>
      <c r="S44" s="2935"/>
      <c r="T44" s="2284"/>
      <c r="U44" s="1875"/>
      <c r="V44" s="1875"/>
    </row>
    <row r="45" spans="1:245">
      <c r="A45" s="2283"/>
      <c r="B45" s="2283"/>
      <c r="C45" s="2283"/>
      <c r="D45" s="2283"/>
      <c r="E45" s="2283"/>
      <c r="F45" s="2281"/>
      <c r="G45" s="2283"/>
      <c r="H45" s="2283"/>
      <c r="I45" s="2283"/>
      <c r="J45" s="2283"/>
      <c r="K45" s="2283"/>
      <c r="L45" s="2283"/>
      <c r="N45" s="2283"/>
      <c r="O45" s="2283"/>
      <c r="P45" s="2283"/>
      <c r="Q45" s="2283"/>
      <c r="R45" s="2284"/>
      <c r="S45" s="1875"/>
      <c r="T45" s="2284"/>
      <c r="U45" s="1875"/>
      <c r="V45" s="1875"/>
    </row>
    <row r="46" spans="1:245">
      <c r="A46" s="1978"/>
      <c r="B46" s="2283"/>
      <c r="C46" s="2283"/>
      <c r="D46" s="2283"/>
      <c r="E46" s="2283"/>
      <c r="F46" s="2283"/>
      <c r="G46" s="2283"/>
      <c r="H46" s="2283"/>
      <c r="I46" s="2283"/>
      <c r="J46" s="2283"/>
      <c r="K46" s="2283"/>
      <c r="L46" s="2283"/>
      <c r="M46" s="2283"/>
      <c r="N46" s="2283"/>
      <c r="O46" s="2283"/>
      <c r="P46" s="2283"/>
      <c r="Q46" s="2283"/>
      <c r="R46" s="2284"/>
      <c r="S46" s="1875"/>
      <c r="T46" s="2284"/>
      <c r="U46" s="1875"/>
      <c r="V46" s="1875"/>
    </row>
    <row r="47" spans="1:245">
      <c r="A47" s="2283"/>
      <c r="B47" s="2283"/>
      <c r="C47" s="2283"/>
      <c r="D47" s="2283"/>
      <c r="E47" s="2283"/>
      <c r="F47" s="2283"/>
      <c r="G47" s="2283"/>
      <c r="H47" s="2283"/>
      <c r="I47" s="2283"/>
      <c r="J47" s="2283"/>
      <c r="K47" s="2283"/>
      <c r="L47" s="2283"/>
      <c r="M47" s="2283"/>
      <c r="N47" s="2283"/>
      <c r="O47" s="2283"/>
      <c r="P47" s="2283"/>
      <c r="Q47" s="2283"/>
      <c r="R47" s="2284"/>
      <c r="S47" s="1875"/>
      <c r="T47" s="2284"/>
      <c r="U47" s="1875"/>
      <c r="V47" s="1875"/>
    </row>
    <row r="48" spans="1:245">
      <c r="A48" s="2283"/>
      <c r="B48" s="2283"/>
      <c r="C48" s="2283"/>
      <c r="D48" s="2283"/>
      <c r="E48" s="2283"/>
      <c r="F48" s="2283"/>
      <c r="G48" s="2283"/>
      <c r="H48" s="2283"/>
      <c r="I48" s="2283"/>
      <c r="J48" s="2283"/>
      <c r="K48" s="2283"/>
      <c r="L48" s="2283"/>
      <c r="M48" s="2283"/>
      <c r="N48" s="2283"/>
      <c r="O48" s="2283"/>
      <c r="P48" s="2283"/>
      <c r="Q48" s="2283"/>
      <c r="R48" s="2284"/>
      <c r="S48" s="1875"/>
      <c r="T48" s="2284"/>
      <c r="U48" s="1875"/>
      <c r="V48" s="1875"/>
    </row>
    <row r="49" spans="1:22">
      <c r="A49" s="2283"/>
      <c r="B49" s="2283"/>
      <c r="C49" s="2283"/>
      <c r="D49" s="2283"/>
      <c r="E49" s="2283"/>
      <c r="F49" s="2283"/>
      <c r="G49" s="2283"/>
      <c r="H49" s="2283"/>
      <c r="I49" s="2283"/>
      <c r="J49" s="2283"/>
      <c r="K49" s="2283"/>
      <c r="L49" s="2283"/>
      <c r="M49" s="2283"/>
      <c r="N49" s="2283"/>
      <c r="O49" s="2283"/>
      <c r="P49" s="2283"/>
      <c r="Q49" s="2283"/>
      <c r="R49" s="2284"/>
      <c r="S49" s="1875"/>
      <c r="T49" s="2284"/>
      <c r="U49" s="1875"/>
      <c r="V49" s="1875"/>
    </row>
    <row r="50" spans="1:22">
      <c r="A50" s="2283"/>
      <c r="B50" s="2283"/>
      <c r="C50" s="2283"/>
      <c r="D50" s="2283"/>
      <c r="E50" s="2283"/>
      <c r="F50" s="2283"/>
      <c r="G50" s="2283"/>
      <c r="H50" s="2283"/>
      <c r="I50" s="2283"/>
      <c r="J50" s="2283"/>
      <c r="K50" s="2283"/>
      <c r="L50" s="2283"/>
      <c r="M50" s="2283"/>
      <c r="N50" s="2283"/>
      <c r="O50" s="2283"/>
      <c r="P50" s="2283"/>
      <c r="Q50" s="2283"/>
      <c r="R50" s="2284"/>
      <c r="S50" s="1875"/>
      <c r="T50" s="2284"/>
      <c r="U50" s="1875"/>
      <c r="V50" s="1875"/>
    </row>
    <row r="51" spans="1:22">
      <c r="A51" s="2283"/>
      <c r="B51" s="2283"/>
      <c r="C51" s="2283"/>
      <c r="D51" s="2283"/>
      <c r="E51" s="2283"/>
      <c r="F51" s="2283"/>
      <c r="G51" s="2283"/>
      <c r="H51" s="2283"/>
      <c r="I51" s="2283"/>
      <c r="J51" s="2283"/>
      <c r="K51" s="2283"/>
      <c r="L51" s="2283"/>
      <c r="M51" s="2283"/>
      <c r="N51" s="2283"/>
      <c r="O51" s="2283"/>
      <c r="P51" s="2283"/>
      <c r="Q51" s="2283"/>
      <c r="R51" s="2284"/>
      <c r="S51" s="1875"/>
      <c r="T51" s="2284"/>
      <c r="U51" s="1875"/>
      <c r="V51" s="1875"/>
    </row>
    <row r="52" spans="1:22">
      <c r="A52" s="2283"/>
      <c r="B52" s="2283"/>
      <c r="C52" s="2283"/>
      <c r="D52" s="2283"/>
      <c r="E52" s="2283"/>
      <c r="F52" s="2283"/>
      <c r="G52" s="2283"/>
      <c r="H52" s="2283"/>
      <c r="I52" s="2283"/>
      <c r="J52" s="2283"/>
      <c r="K52" s="2283"/>
      <c r="L52" s="2283"/>
      <c r="M52" s="2283"/>
      <c r="N52" s="2283"/>
      <c r="O52" s="2283"/>
      <c r="P52" s="2283"/>
      <c r="Q52" s="2283"/>
      <c r="R52" s="2284"/>
      <c r="S52" s="1875"/>
      <c r="T52" s="2284"/>
      <c r="U52" s="1875"/>
      <c r="V52" s="1875"/>
    </row>
    <row r="53" spans="1:22">
      <c r="A53" s="2283"/>
      <c r="B53" s="2283"/>
      <c r="C53" s="2283"/>
      <c r="D53" s="2283"/>
      <c r="E53" s="2283"/>
      <c r="F53" s="2283"/>
      <c r="G53" s="2283"/>
      <c r="H53" s="2283"/>
      <c r="I53" s="2283"/>
      <c r="J53" s="2283"/>
      <c r="K53" s="2283"/>
      <c r="L53" s="2283"/>
      <c r="M53" s="2283"/>
      <c r="N53" s="2283"/>
      <c r="O53" s="2283"/>
      <c r="P53" s="2283"/>
      <c r="Q53" s="2283"/>
      <c r="R53" s="2284"/>
      <c r="S53" s="1875"/>
      <c r="T53" s="2284"/>
      <c r="U53" s="1875"/>
      <c r="V53" s="1875"/>
    </row>
    <row r="54" spans="1:22">
      <c r="A54" s="2283"/>
      <c r="B54" s="2283"/>
      <c r="C54" s="2283"/>
      <c r="D54" s="2283"/>
      <c r="E54" s="2283"/>
      <c r="F54" s="2283"/>
      <c r="G54" s="2283"/>
      <c r="H54" s="2283"/>
      <c r="I54" s="2283"/>
      <c r="J54" s="2283"/>
      <c r="K54" s="2283"/>
      <c r="L54" s="2283"/>
      <c r="M54" s="2283"/>
      <c r="N54" s="2283"/>
      <c r="O54" s="2283"/>
      <c r="P54" s="2283"/>
      <c r="Q54" s="2283"/>
      <c r="R54" s="2284"/>
      <c r="S54" s="1875"/>
      <c r="T54" s="2284"/>
      <c r="U54" s="1875"/>
      <c r="V54" s="1875"/>
    </row>
    <row r="55" spans="1:22">
      <c r="A55" s="2283"/>
      <c r="B55" s="2283"/>
      <c r="C55" s="2283"/>
      <c r="D55" s="2283"/>
      <c r="E55" s="2283"/>
      <c r="F55" s="2283"/>
      <c r="G55" s="2283"/>
      <c r="H55" s="2283"/>
      <c r="I55" s="2283"/>
      <c r="J55" s="2283"/>
      <c r="K55" s="2283"/>
      <c r="L55" s="2283"/>
      <c r="M55" s="2283"/>
      <c r="N55" s="2283"/>
      <c r="O55" s="2283"/>
      <c r="P55" s="2283"/>
      <c r="Q55" s="2283"/>
      <c r="R55" s="2284"/>
      <c r="S55" s="1875"/>
      <c r="T55" s="2284"/>
      <c r="U55" s="1875"/>
      <c r="V55" s="1875"/>
    </row>
    <row r="56" spans="1:22">
      <c r="A56" s="2283"/>
      <c r="B56" s="2283"/>
      <c r="C56" s="2283"/>
      <c r="D56" s="2283"/>
      <c r="E56" s="2283"/>
      <c r="F56" s="2283"/>
      <c r="G56" s="2283"/>
      <c r="H56" s="2283"/>
      <c r="I56" s="2283"/>
      <c r="J56" s="2283"/>
      <c r="K56" s="2283"/>
      <c r="L56" s="2283"/>
      <c r="M56" s="2283"/>
      <c r="N56" s="2283"/>
      <c r="O56" s="2283"/>
      <c r="P56" s="2283"/>
      <c r="Q56" s="2283"/>
      <c r="R56" s="2285"/>
      <c r="S56" s="2283"/>
    </row>
    <row r="57" spans="1:22">
      <c r="A57" s="2283"/>
      <c r="B57" s="2283"/>
      <c r="C57" s="2283"/>
      <c r="D57" s="2283"/>
      <c r="E57" s="2283"/>
      <c r="F57" s="2283"/>
      <c r="G57" s="2283"/>
      <c r="H57" s="2283"/>
      <c r="I57" s="2283"/>
      <c r="J57" s="2283"/>
      <c r="K57" s="2283"/>
      <c r="L57" s="2283"/>
      <c r="M57" s="2283"/>
      <c r="N57" s="2283"/>
      <c r="O57" s="2283"/>
      <c r="P57" s="2283"/>
      <c r="Q57" s="2283"/>
      <c r="R57" s="2285"/>
      <c r="S57" s="2283"/>
    </row>
    <row r="58" spans="1:22">
      <c r="A58" s="2283"/>
      <c r="B58" s="2283"/>
      <c r="C58" s="2283"/>
      <c r="D58" s="2283"/>
      <c r="E58" s="2283"/>
      <c r="F58" s="2283"/>
      <c r="G58" s="2283"/>
      <c r="H58" s="2283"/>
      <c r="I58" s="2283"/>
      <c r="J58" s="2283"/>
      <c r="K58" s="2283"/>
      <c r="L58" s="2283"/>
      <c r="M58" s="2283"/>
      <c r="N58" s="2283"/>
      <c r="O58" s="2283"/>
      <c r="P58" s="2283"/>
      <c r="Q58" s="2283"/>
      <c r="R58" s="2285"/>
      <c r="S58" s="2283"/>
    </row>
    <row r="59" spans="1:22">
      <c r="A59" s="2283"/>
      <c r="B59" s="2283"/>
      <c r="C59" s="2283"/>
      <c r="D59" s="2283"/>
      <c r="E59" s="2283"/>
      <c r="F59" s="2283"/>
      <c r="G59" s="2283"/>
      <c r="H59" s="2283"/>
      <c r="I59" s="2283"/>
      <c r="J59" s="2283"/>
      <c r="K59" s="2283"/>
      <c r="L59" s="2283"/>
      <c r="M59" s="2283"/>
      <c r="N59" s="2283"/>
      <c r="O59" s="2283"/>
      <c r="P59" s="2283"/>
      <c r="Q59" s="2283"/>
      <c r="R59" s="2285"/>
      <c r="S59" s="2283"/>
    </row>
    <row r="60" spans="1:22">
      <c r="A60" s="2283"/>
      <c r="B60" s="2283"/>
      <c r="C60" s="2283"/>
      <c r="D60" s="2283"/>
      <c r="E60" s="2283"/>
      <c r="F60" s="2283"/>
      <c r="G60" s="2283"/>
      <c r="H60" s="2283"/>
      <c r="I60" s="2283"/>
      <c r="J60" s="2283"/>
      <c r="K60" s="2283"/>
      <c r="L60" s="2283"/>
      <c r="M60" s="2283"/>
      <c r="N60" s="2283"/>
      <c r="O60" s="2283"/>
      <c r="P60" s="2283"/>
      <c r="Q60" s="2283"/>
      <c r="R60" s="2285"/>
      <c r="S60" s="2283"/>
    </row>
    <row r="61" spans="1:22">
      <c r="A61" s="2283"/>
      <c r="B61" s="2283"/>
      <c r="C61" s="2283"/>
      <c r="D61" s="2283"/>
      <c r="E61" s="2283"/>
      <c r="F61" s="2283"/>
      <c r="G61" s="2283"/>
      <c r="H61" s="2283"/>
      <c r="I61" s="2283"/>
      <c r="J61" s="2283"/>
      <c r="K61" s="2283"/>
      <c r="L61" s="2283"/>
      <c r="M61" s="2283"/>
      <c r="N61" s="2283"/>
      <c r="O61" s="2283"/>
      <c r="P61" s="2283"/>
      <c r="Q61" s="2283"/>
      <c r="R61" s="2285"/>
      <c r="S61" s="2283"/>
    </row>
  </sheetData>
  <customSheetViews>
    <customSheetView guid="{BD09DBC2-63A5-4D9C-9B00-4281066E9389}" scale="80" showPageBreaks="1" showGridLines="0" outlineSymbols="0" fitToPage="1" printArea="1">
      <selection activeCell="D23" sqref="D23"/>
      <pageMargins left="0.5" right="0.5" top="0.75" bottom="0.5" header="0" footer="0.25"/>
      <pageSetup scale="55" firstPageNumber="6" orientation="landscape" useFirstPageNumber="1" r:id="rId1"/>
      <headerFooter scaleWithDoc="0" alignWithMargins="0">
        <oddFooter>&amp;C&amp;8&amp;P</oddFooter>
      </headerFooter>
    </customSheetView>
    <customSheetView guid="{C82E0A7D-2B5B-48FC-A705-3168E651E04C}" scale="80" showPageBreaks="1" showGridLines="0" outlineSymbols="0" fitToPage="1">
      <selection activeCell="U43" sqref="U43"/>
      <pageMargins left="0.5" right="0.5" top="0.75" bottom="0.5" header="0" footer="0.25"/>
      <pageSetup scale="52" orientation="landscape" r:id="rId2"/>
      <headerFooter scaleWithDoc="0" alignWithMargins="0">
        <oddFooter>&amp;C&amp;8 6</oddFooter>
      </headerFooter>
    </customSheetView>
    <customSheetView guid="{A8B05C3B-0E7E-44A3-A097-AF4C5C09F04E}" scale="70" showPageBreaks="1" showGridLines="0" outlineSymbols="0" fitToPage="1" printArea="1" topLeftCell="A6">
      <selection activeCell="H44" sqref="H44"/>
      <pageMargins left="0.5" right="0.5" top="0.75" bottom="0.5" header="0" footer="0.25"/>
      <pageSetup scale="55" orientation="landscape" r:id="rId3"/>
      <headerFooter scaleWithDoc="0" alignWithMargins="0">
        <oddFooter>&amp;C&amp;8 6</oddFooter>
      </headerFooter>
    </customSheetView>
    <customSheetView guid="{8EE6466D-211E-4E05-9F84-CC0A1C6F79F4}" scale="80" showGridLines="0" outlineSymbols="0" fitToPage="1">
      <selection activeCell="U43" sqref="U43"/>
      <pageMargins left="0.5" right="0.5" top="0.75" bottom="0.5" header="0" footer="0.25"/>
      <pageSetup scale="55" orientation="landscape" r:id="rId4"/>
      <headerFooter scaleWithDoc="0" alignWithMargins="0">
        <oddFooter>&amp;C&amp;8 6</oddFooter>
      </headerFooter>
    </customSheetView>
    <customSheetView guid="{4735AAE3-27B4-4549-AAB4-50ACA997F5F5}" scale="80" showPageBreaks="1" showGridLines="0" outlineSymbols="0" fitToPage="1" topLeftCell="B12">
      <selection activeCell="J46" sqref="J46"/>
      <pageMargins left="0.5" right="0.5" top="0.75" bottom="0.5" header="0" footer="0.25"/>
      <pageSetup scale="52" orientation="landscape" r:id="rId5"/>
      <headerFooter scaleWithDoc="0" alignWithMargins="0">
        <oddFooter>&amp;C&amp;8 6</oddFooter>
      </headerFooter>
    </customSheetView>
    <customSheetView guid="{80622567-647A-4891-B8EE-6B9E2C4DAC44}" scale="80" showPageBreaks="1" showGridLines="0" outlineSymbols="0" fitToPage="1" printArea="1" topLeftCell="A7">
      <selection activeCell="B18" sqref="B18"/>
      <pageMargins left="0.5" right="0.5" top="0.75" bottom="0.5" header="0" footer="0.25"/>
      <pageSetup scale="55" orientation="landscape" r:id="rId6"/>
      <headerFooter scaleWithDoc="0" alignWithMargins="0">
        <oddFooter>&amp;C&amp;8 6</oddFooter>
      </headerFooter>
    </customSheetView>
    <customSheetView guid="{A97EE6C3-4DA8-41BD-BE43-F596EFCB43CA}" scale="80" showPageBreaks="1" showGridLines="0" outlineSymbols="0" fitToPage="1" printArea="1">
      <selection activeCell="U43" sqref="U43"/>
      <pageMargins left="0.5" right="0.5" top="0.75" bottom="0.5" header="0" footer="0.25"/>
      <pageSetup scale="55" orientation="landscape" r:id="rId7"/>
      <headerFooter scaleWithDoc="0" alignWithMargins="0">
        <oddFooter>&amp;C&amp;8 6</oddFooter>
      </headerFooter>
    </customSheetView>
    <customSheetView guid="{90B76C5A-2FC4-40F0-8436-3E4F075A4887}" scale="70" showPageBreaks="1" showGridLines="0" outlineSymbols="0" fitToPage="1" printArea="1">
      <selection activeCell="B18" sqref="B18"/>
      <pageMargins left="0.5" right="0.5" top="0.75" bottom="0.5" header="0" footer="0.25"/>
      <pageSetup scale="55" orientation="landscape" r:id="rId8"/>
      <headerFooter scaleWithDoc="0" alignWithMargins="0">
        <oddFooter>&amp;C&amp;8 6</oddFooter>
      </headerFooter>
    </customSheetView>
  </customSheetViews>
  <mergeCells count="1">
    <mergeCell ref="S12:U12"/>
  </mergeCells>
  <pageMargins left="0.5" right="0.5" top="0.75" bottom="0.5" header="0" footer="0.25"/>
  <pageSetup scale="56" firstPageNumber="6" orientation="landscape" useFirstPageNumber="1" r:id="rId9"/>
  <headerFooter scaleWithDoc="0" alignWithMargins="0">
    <oddFooter>&amp;C&amp;8&amp;P</oddFooter>
  </headerFooter>
  <ignoredErrors>
    <ignoredError sqref="S20:U22 S35:U38 T34:U34 T42 T41 S30:U32 S18:T18 S27:U28 S23:T25 S33:T33 S40:U40 S39:T39 S19:U19 S26:T26 S29:T29" unlockedFormula="1"/>
  </ignoredErrors>
</worksheet>
</file>

<file path=xl/worksheets/sheet7.xml><?xml version="1.0" encoding="utf-8"?>
<worksheet xmlns="http://schemas.openxmlformats.org/spreadsheetml/2006/main" xmlns:r="http://schemas.openxmlformats.org/officeDocument/2006/relationships">
  <sheetPr codeName="Sheet11">
    <pageSetUpPr fitToPage="1"/>
  </sheetPr>
  <dimension ref="A1:K56"/>
  <sheetViews>
    <sheetView showGridLines="0" zoomScale="80" zoomScaleNormal="70" workbookViewId="0"/>
  </sheetViews>
  <sheetFormatPr defaultRowHeight="15"/>
  <cols>
    <col min="1" max="1" width="45.6640625" style="306" customWidth="1"/>
    <col min="2" max="2" width="2.44140625" style="306" customWidth="1"/>
    <col min="3" max="3" width="15.33203125" style="306" customWidth="1"/>
    <col min="4" max="4" width="1.88671875" style="306" customWidth="1"/>
    <col min="5" max="5" width="15.33203125" style="306" customWidth="1"/>
    <col min="6" max="6" width="2.77734375" style="306" customWidth="1"/>
    <col min="7" max="7" width="15.33203125" style="306" customWidth="1"/>
    <col min="8" max="8" width="2" style="306" customWidth="1"/>
    <col min="9" max="9" width="14.88671875" style="306" customWidth="1"/>
    <col min="10" max="10" width="2.33203125" style="306" customWidth="1"/>
    <col min="11" max="11" width="14.109375" style="306" customWidth="1"/>
    <col min="12" max="16384" width="8.88671875" style="306"/>
  </cols>
  <sheetData>
    <row r="1" spans="1:11">
      <c r="A1" s="1227" t="s">
        <v>1322</v>
      </c>
    </row>
    <row r="2" spans="1:11">
      <c r="A2" s="1876"/>
    </row>
    <row r="3" spans="1:11" ht="18">
      <c r="A3" s="347" t="s">
        <v>0</v>
      </c>
      <c r="B3" s="348"/>
      <c r="C3" s="348"/>
      <c r="D3" s="349"/>
      <c r="E3" s="348"/>
      <c r="F3" s="349"/>
      <c r="G3" s="349"/>
      <c r="H3" s="349"/>
      <c r="I3" s="349"/>
      <c r="J3" s="349"/>
      <c r="K3" s="350" t="s">
        <v>87</v>
      </c>
    </row>
    <row r="4" spans="1:11" ht="18">
      <c r="A4" s="347" t="s">
        <v>86</v>
      </c>
      <c r="B4" s="348"/>
      <c r="C4" s="348"/>
      <c r="D4" s="349"/>
      <c r="E4" s="348"/>
      <c r="F4" s="349"/>
      <c r="G4" s="349"/>
      <c r="H4" s="349"/>
      <c r="I4" s="350"/>
      <c r="J4" s="351"/>
    </row>
    <row r="5" spans="1:11" ht="20.25" customHeight="1">
      <c r="A5" s="3352" t="s">
        <v>1176</v>
      </c>
      <c r="B5" s="3353"/>
      <c r="C5" s="3353"/>
      <c r="D5" s="3353"/>
      <c r="E5" s="3353"/>
      <c r="F5" s="349"/>
      <c r="G5" s="352"/>
      <c r="H5" s="349"/>
      <c r="I5" s="349"/>
      <c r="J5" s="349"/>
      <c r="K5" s="349"/>
    </row>
    <row r="6" spans="1:11" ht="18.75" customHeight="1">
      <c r="A6" s="1871" t="s">
        <v>1631</v>
      </c>
      <c r="B6" s="354"/>
      <c r="C6" s="355"/>
      <c r="D6" s="349"/>
      <c r="E6" s="355"/>
      <c r="F6" s="349"/>
      <c r="G6" s="349"/>
      <c r="H6" s="349"/>
      <c r="I6" s="349"/>
      <c r="J6" s="349"/>
      <c r="K6" s="349"/>
    </row>
    <row r="7" spans="1:11" ht="18">
      <c r="A7" s="398" t="s">
        <v>1199</v>
      </c>
      <c r="B7" s="355"/>
      <c r="C7" s="355"/>
      <c r="D7" s="349"/>
      <c r="E7" s="355"/>
      <c r="F7" s="349"/>
      <c r="G7" s="349"/>
      <c r="H7" s="349"/>
      <c r="I7" s="349"/>
      <c r="J7" s="349"/>
      <c r="K7" s="349"/>
    </row>
    <row r="8" spans="1:11" ht="18">
      <c r="A8" s="356"/>
      <c r="B8" s="349"/>
      <c r="C8" s="349"/>
      <c r="D8" s="349"/>
      <c r="E8" s="349"/>
      <c r="F8" s="349"/>
      <c r="G8" s="349"/>
      <c r="H8" s="349"/>
      <c r="I8" s="349"/>
      <c r="J8" s="349"/>
      <c r="K8" s="349"/>
    </row>
    <row r="9" spans="1:11">
      <c r="A9" s="357"/>
      <c r="B9" s="349"/>
      <c r="C9" s="349"/>
      <c r="D9" s="349"/>
      <c r="E9" s="349"/>
      <c r="F9" s="349"/>
      <c r="G9" s="349"/>
      <c r="H9" s="349"/>
      <c r="I9" s="349"/>
      <c r="J9" s="349"/>
      <c r="K9" s="349"/>
    </row>
    <row r="10" spans="1:11">
      <c r="A10" s="357"/>
      <c r="B10" s="349"/>
      <c r="C10" s="349"/>
      <c r="D10" s="349"/>
      <c r="E10" s="349"/>
      <c r="F10" s="349"/>
      <c r="G10" s="349"/>
      <c r="H10" s="349"/>
      <c r="I10" s="349"/>
      <c r="J10" s="349"/>
      <c r="K10" s="349"/>
    </row>
    <row r="11" spans="1:11" ht="15.75">
      <c r="A11" s="227"/>
      <c r="B11" s="358"/>
      <c r="C11" s="3354" t="s">
        <v>1554</v>
      </c>
      <c r="D11" s="3354"/>
      <c r="E11" s="3354"/>
      <c r="F11" s="3354"/>
      <c r="G11" s="3354"/>
      <c r="H11" s="3354"/>
      <c r="I11" s="3354"/>
      <c r="J11" s="2616"/>
      <c r="K11" s="2617"/>
    </row>
    <row r="12" spans="1:11" ht="15.75">
      <c r="A12" s="227"/>
      <c r="B12" s="358"/>
      <c r="C12" s="359"/>
      <c r="D12" s="359"/>
      <c r="E12" s="359"/>
      <c r="F12" s="359"/>
      <c r="G12" s="359"/>
      <c r="H12" s="359"/>
      <c r="I12" s="360" t="s">
        <v>88</v>
      </c>
      <c r="J12" s="360"/>
      <c r="K12" s="360" t="s">
        <v>88</v>
      </c>
    </row>
    <row r="13" spans="1:11" ht="15.75">
      <c r="A13" s="227"/>
      <c r="B13" s="358"/>
      <c r="C13" s="359"/>
      <c r="D13" s="359"/>
      <c r="E13" s="359"/>
      <c r="F13" s="359"/>
      <c r="G13" s="359"/>
      <c r="H13" s="359"/>
      <c r="I13" s="360" t="s">
        <v>1206</v>
      </c>
      <c r="J13" s="360"/>
      <c r="K13" s="360" t="s">
        <v>1206</v>
      </c>
    </row>
    <row r="14" spans="1:11" ht="15.75">
      <c r="A14" s="227"/>
      <c r="B14" s="358"/>
      <c r="C14" s="361" t="s">
        <v>1490</v>
      </c>
      <c r="D14" s="359"/>
      <c r="E14" s="360" t="s">
        <v>1491</v>
      </c>
      <c r="F14" s="359"/>
      <c r="G14" s="359"/>
      <c r="H14" s="359"/>
      <c r="I14" s="360" t="s">
        <v>89</v>
      </c>
      <c r="J14" s="360"/>
      <c r="K14" s="360" t="s">
        <v>89</v>
      </c>
    </row>
    <row r="15" spans="1:11" ht="15.75">
      <c r="A15" s="227"/>
      <c r="B15" s="358"/>
      <c r="C15" s="360" t="s">
        <v>1536</v>
      </c>
      <c r="D15" s="359"/>
      <c r="E15" s="360" t="s">
        <v>1536</v>
      </c>
      <c r="F15" s="359"/>
      <c r="G15" s="359"/>
      <c r="H15" s="359"/>
      <c r="I15" s="360" t="s">
        <v>1490</v>
      </c>
      <c r="J15" s="360"/>
      <c r="K15" s="360" t="s">
        <v>1491</v>
      </c>
    </row>
    <row r="16" spans="1:11" ht="15.75">
      <c r="A16" s="227"/>
      <c r="B16" s="358"/>
      <c r="C16" s="360" t="s">
        <v>1537</v>
      </c>
      <c r="D16" s="359"/>
      <c r="E16" s="360" t="s">
        <v>1540</v>
      </c>
      <c r="F16" s="359"/>
      <c r="G16" s="361" t="s">
        <v>88</v>
      </c>
      <c r="H16" s="359"/>
      <c r="I16" s="360" t="s">
        <v>90</v>
      </c>
      <c r="J16" s="360"/>
      <c r="K16" s="360" t="s">
        <v>90</v>
      </c>
    </row>
    <row r="17" spans="1:11">
      <c r="A17" s="362"/>
      <c r="B17" s="363"/>
      <c r="C17" s="364"/>
      <c r="D17" s="349"/>
      <c r="E17" s="364"/>
      <c r="F17" s="349"/>
      <c r="G17" s="364"/>
      <c r="H17" s="349"/>
      <c r="I17" s="364"/>
      <c r="J17" s="363"/>
      <c r="K17" s="364"/>
    </row>
    <row r="18" spans="1:11" ht="15.75">
      <c r="A18" s="225" t="s">
        <v>15</v>
      </c>
      <c r="B18" s="365"/>
      <c r="C18" s="366"/>
      <c r="D18" s="366"/>
      <c r="E18" s="366"/>
      <c r="F18" s="366"/>
      <c r="G18" s="366"/>
      <c r="H18" s="366"/>
      <c r="I18" s="366"/>
      <c r="J18" s="366"/>
      <c r="K18" s="365"/>
    </row>
    <row r="19" spans="1:11" ht="15" customHeight="1">
      <c r="A19" s="1863" t="s">
        <v>91</v>
      </c>
      <c r="B19" s="367" t="s">
        <v>16</v>
      </c>
      <c r="C19" s="368"/>
      <c r="D19" s="367"/>
      <c r="E19" s="368"/>
      <c r="F19" s="367"/>
      <c r="G19" s="304"/>
      <c r="H19" s="367"/>
      <c r="I19" s="304"/>
      <c r="J19" s="304"/>
      <c r="K19" s="249"/>
    </row>
    <row r="20" spans="1:11">
      <c r="A20" s="369" t="s">
        <v>92</v>
      </c>
      <c r="B20" s="367" t="s">
        <v>16</v>
      </c>
      <c r="C20" s="246">
        <f>'Exh D General Fund  '!C20+'Exh D Special Revenue'!C20+'Exh D Debt Service'!C20</f>
        <v>22496</v>
      </c>
      <c r="D20" s="370"/>
      <c r="E20" s="246">
        <f>+'Exh D General Fund  '!E20+'Exh D Special Revenue'!E20+'Exh D Debt Service'!E20</f>
        <v>23364</v>
      </c>
      <c r="F20" s="370"/>
      <c r="G20" s="246">
        <f>+'Exh D General Fund  '!G20+'Exh D Special Revenue'!G20+'Exh D Debt Service'!G20</f>
        <v>23373.699999999997</v>
      </c>
      <c r="H20" s="370"/>
      <c r="I20" s="246">
        <f t="shared" ref="I20:I25" si="0">ROUND(SUM(G20)-SUM(C20),1)</f>
        <v>877.7</v>
      </c>
      <c r="J20" s="371"/>
      <c r="K20" s="247">
        <f t="shared" ref="K20:K25" si="1">ROUND(SUM(G20)-SUM(E20),1)</f>
        <v>9.6999999999999993</v>
      </c>
    </row>
    <row r="21" spans="1:11">
      <c r="A21" s="1863" t="s">
        <v>93</v>
      </c>
      <c r="B21" s="365" t="s">
        <v>16</v>
      </c>
      <c r="C21" s="265">
        <f>+'Exh D General Fund  '!C21+'Exh D Debt Service'!C21+'Exh D Special Revenue'!C21+'Exh D Capital Projects'!C20</f>
        <v>8901</v>
      </c>
      <c r="D21" s="265"/>
      <c r="E21" s="265">
        <f>+'Exh D General Fund  '!E21+'Exh D Special Revenue'!E21+'Exh D Debt Service'!E21+'Exh D Capital Projects'!E20</f>
        <v>9068</v>
      </c>
      <c r="F21" s="265"/>
      <c r="G21" s="265">
        <f>+'Exh D General Fund  '!G21+'Exh D Special Revenue'!G21+'Exh D Debt Service'!G21+'Exh D Capital Projects'!G20</f>
        <v>9052.8000000000011</v>
      </c>
      <c r="H21" s="265"/>
      <c r="I21" s="265">
        <f t="shared" si="0"/>
        <v>151.80000000000001</v>
      </c>
      <c r="J21" s="371"/>
      <c r="K21" s="253">
        <f t="shared" si="1"/>
        <v>-15.2</v>
      </c>
    </row>
    <row r="22" spans="1:11" ht="17.25" customHeight="1">
      <c r="A22" s="1863" t="s">
        <v>94</v>
      </c>
      <c r="B22" s="367" t="s">
        <v>16</v>
      </c>
      <c r="C22" s="265">
        <f>+'Exh D General Fund  '!C22+'Exh D Special Revenue'!C22+'Exh D Capital Projects'!C21</f>
        <v>3392</v>
      </c>
      <c r="D22" s="278"/>
      <c r="E22" s="265">
        <f>+'Exh D General Fund  '!E22+'Exh D Special Revenue'!E22+'Exh D Capital Projects'!E21</f>
        <v>4007</v>
      </c>
      <c r="F22" s="278"/>
      <c r="G22" s="265">
        <f>+'Exh D General Fund  '!G22+'Exh D Special Revenue'!G22+'Exh D Capital Projects'!G21</f>
        <v>4004.4</v>
      </c>
      <c r="H22" s="278"/>
      <c r="I22" s="265">
        <f t="shared" si="0"/>
        <v>612.4</v>
      </c>
      <c r="J22" s="371"/>
      <c r="K22" s="253">
        <f t="shared" si="1"/>
        <v>-2.6</v>
      </c>
    </row>
    <row r="23" spans="1:11" ht="14.25" customHeight="1">
      <c r="A23" s="1863" t="s">
        <v>95</v>
      </c>
      <c r="B23" s="365" t="s">
        <v>16</v>
      </c>
      <c r="C23" s="265">
        <f>+'Exh D General Fund  '!C23+'Exh D Special Revenue'!C23+'Exh D Capital Projects'!C22+'Exh D Debt Service'!C22</f>
        <v>1963</v>
      </c>
      <c r="D23" s="265"/>
      <c r="E23" s="265">
        <f>+'Exh D General Fund  '!E23+'Exh D Special Revenue'!E23+'Exh D Debt Service'!E22+'Exh D Capital Projects'!E22</f>
        <v>1950</v>
      </c>
      <c r="F23" s="265"/>
      <c r="G23" s="265">
        <f>+'Exh D General Fund  '!G23+'Exh D Special Revenue'!G23+'Exh D Debt Service'!G22+'Exh D Capital Projects'!G22</f>
        <v>1943.6999999999998</v>
      </c>
      <c r="H23" s="265"/>
      <c r="I23" s="265">
        <f t="shared" si="0"/>
        <v>-19.3</v>
      </c>
      <c r="J23" s="371"/>
      <c r="K23" s="253">
        <f t="shared" si="1"/>
        <v>-6.3</v>
      </c>
    </row>
    <row r="24" spans="1:11">
      <c r="A24" s="1863" t="s">
        <v>21</v>
      </c>
      <c r="B24" s="365" t="s">
        <v>16</v>
      </c>
      <c r="C24" s="265">
        <f>+'Exh D General Fund  '!C24+'Exh D Special Revenue'!C24+'Exh D Debt Service'!C23+'Exh D Capital Projects'!C23</f>
        <v>14286</v>
      </c>
      <c r="D24" s="265"/>
      <c r="E24" s="265">
        <f>+'Exh D General Fund  '!E24+'Exh D Special Revenue'!E24+'Exh D Debt Service'!E23+'Exh D Capital Projects'!E23</f>
        <v>17270</v>
      </c>
      <c r="F24" s="265"/>
      <c r="G24" s="265">
        <f>+'Exh D General Fund  '!G24+'Exh D Special Revenue'!G24+'Exh D Debt Service'!G23+'Exh D Capital Projects'!G23</f>
        <v>17265.3</v>
      </c>
      <c r="H24" s="265"/>
      <c r="I24" s="265">
        <f t="shared" si="0"/>
        <v>2979.3</v>
      </c>
      <c r="J24" s="372"/>
      <c r="K24" s="253">
        <f t="shared" si="1"/>
        <v>-4.7</v>
      </c>
    </row>
    <row r="25" spans="1:11" ht="15" customHeight="1">
      <c r="A25" s="1863" t="s">
        <v>22</v>
      </c>
      <c r="B25" s="365" t="s">
        <v>16</v>
      </c>
      <c r="C25" s="521">
        <f>+'Exh D General Fund  '!C25+'Exh D Debt Service'!C24+'Exh D Special Revenue'!C25+'Exh D Capital Projects'!C24</f>
        <v>26237</v>
      </c>
      <c r="D25" s="265"/>
      <c r="E25" s="521">
        <f>+'Exh D General Fund  '!E25+'Exh D Special Revenue'!E25+'Exh D Debt Service'!E24+'Exh D Capital Projects'!E24</f>
        <v>26504</v>
      </c>
      <c r="F25" s="265"/>
      <c r="G25" s="521">
        <f>+'Exh D General Fund  '!G25+'Exh D Special Revenue'!G25+'Exh D Debt Service'!G24+'Exh D Capital Projects'!G24</f>
        <v>26520.600000000002</v>
      </c>
      <c r="H25" s="265"/>
      <c r="I25" s="265">
        <f t="shared" si="0"/>
        <v>283.60000000000002</v>
      </c>
      <c r="J25" s="372"/>
      <c r="K25" s="253">
        <f t="shared" si="1"/>
        <v>16.600000000000001</v>
      </c>
    </row>
    <row r="26" spans="1:11" ht="15.75">
      <c r="A26" s="380" t="s">
        <v>96</v>
      </c>
      <c r="B26" s="358" t="s">
        <v>16</v>
      </c>
      <c r="C26" s="425">
        <f>ROUND(SUM(C20:C25),1)</f>
        <v>77275</v>
      </c>
      <c r="D26" s="2154"/>
      <c r="E26" s="425">
        <f>ROUND(SUM(E20:E25),1)</f>
        <v>82163</v>
      </c>
      <c r="F26" s="261"/>
      <c r="G26" s="425">
        <f>ROUND(SUM(G20:G25),1)</f>
        <v>82160.5</v>
      </c>
      <c r="H26" s="261"/>
      <c r="I26" s="425">
        <f>ROUND(SUM(I20:I25),1)</f>
        <v>4885.5</v>
      </c>
      <c r="J26" s="373"/>
      <c r="K26" s="425">
        <f>ROUND(SUM(K20:K25),1)</f>
        <v>-2.5</v>
      </c>
    </row>
    <row r="27" spans="1:11">
      <c r="A27" s="227"/>
      <c r="B27" s="365" t="s">
        <v>16</v>
      </c>
      <c r="C27" s="293"/>
      <c r="D27" s="265"/>
      <c r="E27" s="293"/>
      <c r="F27" s="265"/>
      <c r="G27" s="293"/>
      <c r="H27" s="265"/>
      <c r="I27" s="293"/>
      <c r="J27" s="257"/>
      <c r="K27" s="293"/>
    </row>
    <row r="28" spans="1:11" ht="15.75">
      <c r="A28" s="225" t="s">
        <v>24</v>
      </c>
      <c r="B28" s="365" t="s">
        <v>16</v>
      </c>
      <c r="C28" s="265"/>
      <c r="D28" s="265"/>
      <c r="E28" s="265"/>
      <c r="F28" s="265"/>
      <c r="G28" s="265"/>
      <c r="H28" s="265"/>
      <c r="I28" s="265"/>
      <c r="J28" s="372"/>
      <c r="K28" s="253"/>
    </row>
    <row r="29" spans="1:11">
      <c r="A29" s="1863" t="s">
        <v>97</v>
      </c>
      <c r="B29" s="365" t="s">
        <v>16</v>
      </c>
      <c r="C29" s="521">
        <f>+'Exh D General Fund  '!C34+'Exh D Special Revenue'!C30+'Exh D Capital Projects'!C30</f>
        <v>55112</v>
      </c>
      <c r="D29" s="265"/>
      <c r="E29" s="521">
        <f>+'Exh D General Fund  '!E34+'Exh D Special Revenue'!E30+'Exh D Capital Projects'!E30</f>
        <v>55177</v>
      </c>
      <c r="F29" s="265"/>
      <c r="G29" s="521">
        <f>+'Exh D General Fund  '!G34+'Exh D Special Revenue'!G30+'Exh D Capital Projects'!G30</f>
        <v>55151.200000000004</v>
      </c>
      <c r="H29" s="265"/>
      <c r="I29" s="265">
        <f>ROUND(SUM(G29)-SUM(C29),1)</f>
        <v>39.200000000000003</v>
      </c>
      <c r="J29" s="372"/>
      <c r="K29" s="253">
        <f>ROUND(SUM(G29)-SUM(E29),1)</f>
        <v>-25.8</v>
      </c>
    </row>
    <row r="30" spans="1:11">
      <c r="A30" s="1863" t="s">
        <v>98</v>
      </c>
      <c r="B30" s="365" t="s">
        <v>16</v>
      </c>
      <c r="C30" s="278">
        <f>+'Exh D General Fund  '!C35+'Exh D Special Revenue'!C31+'Exh D Debt Service'!C29</f>
        <v>11593</v>
      </c>
      <c r="D30" s="265"/>
      <c r="E30" s="278">
        <f>+'Exh D General Fund  '!E35+'Exh D Special Revenue'!E31+'Exh D Debt Service'!E29</f>
        <v>11536</v>
      </c>
      <c r="F30" s="265"/>
      <c r="G30" s="278">
        <f>+'Exh D General Fund  '!G35+'Exh D Special Revenue'!G31+'Exh D Debt Service'!G29</f>
        <v>11546.8</v>
      </c>
      <c r="H30" s="265"/>
      <c r="I30" s="265">
        <f>ROUND(SUM(G30)-SUM(C30),1)</f>
        <v>-46.2</v>
      </c>
      <c r="J30" s="372"/>
      <c r="K30" s="253">
        <f>ROUND(SUM(G30)-SUM(E30),1)</f>
        <v>10.8</v>
      </c>
    </row>
    <row r="31" spans="1:11">
      <c r="A31" s="1863" t="s">
        <v>73</v>
      </c>
      <c r="B31" s="365" t="s">
        <v>16</v>
      </c>
      <c r="C31" s="521">
        <f>+'Exh D General Fund  '!C36+'Exh D Special Revenue'!C32</f>
        <v>4804</v>
      </c>
      <c r="D31" s="265"/>
      <c r="E31" s="1321">
        <f>+'Exh D General Fund  '!E36+'Exh D Special Revenue'!E32</f>
        <v>5048</v>
      </c>
      <c r="F31" s="265"/>
      <c r="G31" s="521">
        <f>+'Exh D General Fund  '!G36+'Exh D Special Revenue'!G32</f>
        <v>5071.5</v>
      </c>
      <c r="H31" s="265"/>
      <c r="I31" s="265">
        <f>ROUND(SUM(G31)-SUM(C31),1)</f>
        <v>267.5</v>
      </c>
      <c r="J31" s="372"/>
      <c r="K31" s="253">
        <f>ROUND(SUM(G31)-SUM(E31),1)</f>
        <v>23.5</v>
      </c>
    </row>
    <row r="32" spans="1:11">
      <c r="A32" s="1863" t="s">
        <v>99</v>
      </c>
      <c r="B32" s="365" t="s">
        <v>16</v>
      </c>
      <c r="C32" s="278">
        <f>+'Exh D Debt Service'!C30</f>
        <v>2016</v>
      </c>
      <c r="D32" s="265"/>
      <c r="E32" s="278">
        <f>+'Exh D Debt Service'!E30</f>
        <v>1995</v>
      </c>
      <c r="F32" s="265"/>
      <c r="G32" s="278">
        <f>+'Exh D Debt Service'!G30</f>
        <v>2052.3000000000002</v>
      </c>
      <c r="H32" s="265"/>
      <c r="I32" s="265">
        <f>ROUND(SUM(G32)-SUM(C32),1)</f>
        <v>36.299999999999997</v>
      </c>
      <c r="J32" s="372"/>
      <c r="K32" s="253">
        <f>ROUND(SUM(G32)-SUM(E32),1)</f>
        <v>57.3</v>
      </c>
    </row>
    <row r="33" spans="1:11" ht="15" customHeight="1">
      <c r="A33" s="1863" t="s">
        <v>43</v>
      </c>
      <c r="B33" s="365" t="s">
        <v>16</v>
      </c>
      <c r="C33" s="521">
        <f>+'Exh D Special Revenue'!C33+'Exh D Capital Projects'!C31</f>
        <v>3408</v>
      </c>
      <c r="D33" s="265"/>
      <c r="E33" s="521">
        <f>+'Exh D Special Revenue'!E33+'Exh D Capital Projects'!E31</f>
        <v>3136</v>
      </c>
      <c r="F33" s="265"/>
      <c r="G33" s="521">
        <f>+'Exh D Special Revenue'!G33+'Exh D Capital Projects'!G31</f>
        <v>3140.8</v>
      </c>
      <c r="H33" s="265"/>
      <c r="I33" s="265">
        <f>ROUND(SUM(G33)-SUM(C33),1)</f>
        <v>-267.2</v>
      </c>
      <c r="J33" s="372"/>
      <c r="K33" s="253">
        <f>ROUND(SUM(G33)-SUM(E33),1)</f>
        <v>4.8</v>
      </c>
    </row>
    <row r="34" spans="1:11" ht="15.75" customHeight="1">
      <c r="A34" s="380" t="s">
        <v>100</v>
      </c>
      <c r="B34" s="358" t="s">
        <v>16</v>
      </c>
      <c r="C34" s="550">
        <f>ROUND(SUM(C29:C33),1)</f>
        <v>76933</v>
      </c>
      <c r="D34" s="2154"/>
      <c r="E34" s="550">
        <f>ROUND(SUM(E29:E33),1)</f>
        <v>76892</v>
      </c>
      <c r="F34" s="261"/>
      <c r="G34" s="550">
        <f>ROUND(SUM(G29:G33),1)</f>
        <v>76962.600000000006</v>
      </c>
      <c r="H34" s="261"/>
      <c r="I34" s="550">
        <f>ROUND(SUM(I29:I33),1)</f>
        <v>29.6</v>
      </c>
      <c r="J34" s="373"/>
      <c r="K34" s="550">
        <f>ROUND(SUM(K29:K33),1)</f>
        <v>70.599999999999994</v>
      </c>
    </row>
    <row r="35" spans="1:11">
      <c r="A35" s="227"/>
      <c r="B35" s="365"/>
      <c r="C35" s="265"/>
      <c r="D35" s="265"/>
      <c r="E35" s="265"/>
      <c r="F35" s="265"/>
      <c r="G35" s="265"/>
      <c r="H35" s="265"/>
      <c r="I35" s="265"/>
      <c r="J35" s="372"/>
      <c r="K35" s="253"/>
    </row>
    <row r="36" spans="1:11" ht="15.75">
      <c r="A36" s="380" t="s">
        <v>45</v>
      </c>
      <c r="B36" s="365"/>
      <c r="C36" s="265"/>
      <c r="D36" s="265"/>
      <c r="E36" s="265"/>
      <c r="F36" s="265"/>
      <c r="G36" s="265"/>
      <c r="H36" s="265"/>
      <c r="I36" s="265"/>
      <c r="J36" s="372"/>
      <c r="K36" s="253"/>
    </row>
    <row r="37" spans="1:11" ht="15.75">
      <c r="A37" s="380" t="s">
        <v>46</v>
      </c>
      <c r="B37" s="365" t="s">
        <v>16</v>
      </c>
      <c r="C37" s="275">
        <f>ROUND(SUM(+C26-C34),1)</f>
        <v>342</v>
      </c>
      <c r="D37" s="265"/>
      <c r="E37" s="275">
        <f>ROUND(SUM(+E26-E34),1)</f>
        <v>5271</v>
      </c>
      <c r="F37" s="265"/>
      <c r="G37" s="275">
        <f>ROUND(SUM(+G26-G34),1)</f>
        <v>5197.8999999999996</v>
      </c>
      <c r="H37" s="265"/>
      <c r="I37" s="275">
        <f>ROUND(SUM(+I26-I34),1)</f>
        <v>4855.8999999999996</v>
      </c>
      <c r="J37" s="257"/>
      <c r="K37" s="1883">
        <f>ROUND(SUM(+K26-K34),1)</f>
        <v>-73.099999999999994</v>
      </c>
    </row>
    <row r="38" spans="1:11">
      <c r="A38" s="227"/>
      <c r="B38" s="365"/>
      <c r="C38" s="265"/>
      <c r="D38" s="265"/>
      <c r="E38" s="265"/>
      <c r="F38" s="265"/>
      <c r="G38" s="265"/>
      <c r="H38" s="265"/>
      <c r="I38" s="265"/>
      <c r="J38" s="372"/>
      <c r="K38" s="253"/>
    </row>
    <row r="39" spans="1:11" ht="15.75">
      <c r="A39" s="380" t="s">
        <v>47</v>
      </c>
      <c r="B39" s="365"/>
      <c r="C39" s="265"/>
      <c r="D39" s="265"/>
      <c r="E39" s="265"/>
      <c r="F39" s="265"/>
      <c r="G39" s="265"/>
      <c r="H39" s="265"/>
      <c r="I39" s="265"/>
      <c r="J39" s="372"/>
      <c r="K39" s="253"/>
    </row>
    <row r="40" spans="1:11">
      <c r="A40" s="1863" t="s">
        <v>101</v>
      </c>
      <c r="B40" s="365" t="s">
        <v>16</v>
      </c>
      <c r="C40" s="522">
        <f>'Exh D Captl Projects State Fed'!U25</f>
        <v>0</v>
      </c>
      <c r="D40" s="265"/>
      <c r="E40" s="522">
        <f>'Exh D Captl Projects State Fed'!W25</f>
        <v>0</v>
      </c>
      <c r="F40" s="265"/>
      <c r="G40" s="522">
        <f>'Exh D Captl Projects State Fed'!Y25</f>
        <v>0</v>
      </c>
      <c r="H40" s="265"/>
      <c r="I40" s="265">
        <f>ROUND(SUM(G40)-SUM(E40),1)</f>
        <v>0</v>
      </c>
      <c r="J40" s="378"/>
      <c r="K40" s="253">
        <f>ROUND(SUM(G40)-SUM(C40),1)</f>
        <v>0</v>
      </c>
    </row>
    <row r="41" spans="1:11">
      <c r="A41" s="1863" t="s">
        <v>49</v>
      </c>
      <c r="B41" s="365" t="s">
        <v>16</v>
      </c>
      <c r="C41" s="278">
        <f>+'Exh D General Fund  '!C27+'Exh D General Fund  '!C28+'Exh D General Fund  '!C29+'Exh D General Fund  '!C30+'Exh D Special Revenue'!C26+'Exh D Debt Service'!C25+'Exh D Capital Projects'!C26</f>
        <v>16841</v>
      </c>
      <c r="D41" s="265"/>
      <c r="E41" s="324">
        <f>+'Exh D General Fund  '!E27+'Exh D General Fund  '!E28+'Exh D General Fund  '!E29+'Exh D General Fund  '!E30+'Exh D Special Revenue'!E26+'Exh D Debt Service'!E25+'Exh D Capital Projects'!E26</f>
        <v>16696</v>
      </c>
      <c r="F41" s="265"/>
      <c r="G41" s="278">
        <f>+'Exh D General Fund  '!G27+'Exh D General Fund  '!G28+'Exh D General Fund  '!G29+'Exh D General Fund  '!G30+'Exh D Special Revenue'!G26+'Exh D Debt Service'!G25+'Exh D Capital Projects'!G26</f>
        <v>16481.900000000001</v>
      </c>
      <c r="H41" s="265"/>
      <c r="I41" s="265">
        <f>ROUND(SUM(G41)-SUM(C41),1)</f>
        <v>-359.1</v>
      </c>
      <c r="J41" s="372"/>
      <c r="K41" s="253">
        <f>ROUND(SUM(G41)-SUM(E41),1)</f>
        <v>-214.1</v>
      </c>
    </row>
    <row r="42" spans="1:11">
      <c r="A42" s="1863" t="s">
        <v>102</v>
      </c>
      <c r="B42" s="365" t="s">
        <v>16</v>
      </c>
      <c r="C42" s="526">
        <f>-(+'Exh D General Fund  '!C38+'Exh D General Fund  '!C39+'Exh D General Fund  '!C40+'Exh D General Fund  '!C41+'Exh D General Fund  '!C42+'Exh D Special Revenue'!C34+'Exh D Debt Service'!C31+'Exh D Capital Projects'!C32)</f>
        <v>-16928</v>
      </c>
      <c r="D42" s="265"/>
      <c r="E42" s="3220">
        <f>-(+'Exh D General Fund  '!E38+'Exh D General Fund  '!E39+'Exh D General Fund  '!E40+'Exh D General Fund  '!E41+'Exh D General Fund  '!E42+'Exh D Special Revenue'!E34+'Exh D Debt Service'!E31+'Exh D Capital Projects'!E32)</f>
        <v>-16815</v>
      </c>
      <c r="F42" s="265"/>
      <c r="G42" s="526">
        <f>-(+'Exh D General Fund  '!G38+'Exh D General Fund  '!G39+'Exh D General Fund  '!G40+'Exh D General Fund  '!G41+'Exh D General Fund  '!G42+'Exh D Special Revenue'!G34+'Exh D Debt Service'!G31+'Exh D Capital Projects'!G32)</f>
        <v>-16588.900000000001</v>
      </c>
      <c r="H42" s="265"/>
      <c r="I42" s="1027">
        <f>-ROUND(SUM(G42)-SUM(C42),1)</f>
        <v>-339.1</v>
      </c>
      <c r="J42" s="257"/>
      <c r="K42" s="1027">
        <f>ROUND(SUM(G42)-SUM(E42),1)</f>
        <v>226.1</v>
      </c>
    </row>
    <row r="43" spans="1:11" ht="15.75">
      <c r="A43" s="380" t="s">
        <v>103</v>
      </c>
      <c r="B43" s="365" t="s">
        <v>16</v>
      </c>
      <c r="C43" s="528">
        <f>ROUND(+SUM(C40)+C41+C42,1)</f>
        <v>-87</v>
      </c>
      <c r="D43" s="265"/>
      <c r="E43" s="528">
        <f>ROUND(+SUM(E40)+E41+E42,1)</f>
        <v>-119</v>
      </c>
      <c r="F43" s="265"/>
      <c r="G43" s="528">
        <f>ROUND(+SUM(G40)+G41+G42,1)</f>
        <v>-107</v>
      </c>
      <c r="H43" s="265"/>
      <c r="I43" s="528">
        <f>ROUND(SUM(I40+I41-I42),1)</f>
        <v>-20</v>
      </c>
      <c r="J43" s="379"/>
      <c r="K43" s="2654">
        <f>ROUND(SUM(K40+K41+K42),1)</f>
        <v>12</v>
      </c>
    </row>
    <row r="44" spans="1:11" ht="15.75">
      <c r="A44" s="380"/>
      <c r="B44" s="365"/>
      <c r="C44" s="278"/>
      <c r="D44" s="265"/>
      <c r="E44" s="278"/>
      <c r="F44" s="265"/>
      <c r="G44" s="278"/>
      <c r="H44" s="265"/>
      <c r="I44" s="278"/>
      <c r="J44" s="367"/>
      <c r="K44" s="279"/>
    </row>
    <row r="45" spans="1:11" ht="15.75">
      <c r="A45" s="225" t="s">
        <v>104</v>
      </c>
      <c r="B45" s="365"/>
      <c r="C45" s="265"/>
      <c r="D45" s="265"/>
      <c r="E45" s="265"/>
      <c r="F45" s="265"/>
      <c r="G45" s="265"/>
      <c r="H45" s="265"/>
      <c r="I45" s="265"/>
      <c r="J45" s="372"/>
      <c r="K45" s="253"/>
    </row>
    <row r="46" spans="1:11" ht="15" customHeight="1">
      <c r="A46" s="225" t="s">
        <v>105</v>
      </c>
      <c r="B46" s="365"/>
      <c r="C46" s="265"/>
      <c r="D46" s="265"/>
      <c r="E46" s="265"/>
      <c r="F46" s="265"/>
      <c r="G46" s="265"/>
      <c r="H46" s="265"/>
      <c r="I46" s="265"/>
      <c r="J46" s="372"/>
      <c r="K46" s="253"/>
    </row>
    <row r="47" spans="1:11" ht="15.75">
      <c r="A47" s="380" t="s">
        <v>106</v>
      </c>
      <c r="B47" s="381" t="s">
        <v>16</v>
      </c>
      <c r="C47" s="277">
        <f>ROUND(SUM(C26)-SUM(C34)+C43,1)</f>
        <v>255</v>
      </c>
      <c r="D47" s="288"/>
      <c r="E47" s="277">
        <f>ROUND(SUM(E26)-SUM(E34)+E43,1)</f>
        <v>5152</v>
      </c>
      <c r="F47" s="288"/>
      <c r="G47" s="277">
        <f>ROUND(SUM(G26)-SUM(G34)+G43,1)</f>
        <v>5090.8999999999996</v>
      </c>
      <c r="H47" s="288"/>
      <c r="I47" s="277">
        <f>ROUND(SUM(I26)-SUM(I34)+I43,1)</f>
        <v>4835.8999999999996</v>
      </c>
      <c r="J47" s="373"/>
      <c r="K47" s="277">
        <f>ROUND(SUM(K26)-SUM(K34)+K43,1)</f>
        <v>-61.1</v>
      </c>
    </row>
    <row r="48" spans="1:11">
      <c r="A48" s="230"/>
      <c r="B48" s="383"/>
      <c r="C48" s="679"/>
      <c r="D48" s="1332"/>
      <c r="E48" s="679"/>
      <c r="F48" s="1332"/>
      <c r="G48" s="679"/>
      <c r="H48" s="1332"/>
      <c r="I48" s="679"/>
      <c r="J48" s="385"/>
      <c r="K48" s="679"/>
    </row>
    <row r="49" spans="1:11" ht="15.75">
      <c r="A49" s="380" t="s">
        <v>107</v>
      </c>
      <c r="B49" s="386" t="s">
        <v>16</v>
      </c>
      <c r="C49" s="277">
        <f>'Exh D General Fund  '!C49+'Exh D Special Revenue'!C41+'Exh D Debt Service'!C38+'Exh D Capital Projects'!C39</f>
        <v>4035</v>
      </c>
      <c r="D49" s="1332"/>
      <c r="E49" s="277">
        <f>'Exh D General Fund  '!E49+'Exh D Special Revenue'!E41+'Exh D Debt Service'!E38+'Exh D Capital Projects'!E39</f>
        <v>4035</v>
      </c>
      <c r="F49" s="1332"/>
      <c r="G49" s="277">
        <f>'Exh D General Fund  '!G49+'Exh D Special Revenue'!G41+'Exh D Debt Service'!G38+'Exh D Capital Projects'!G39</f>
        <v>4034.5000000000009</v>
      </c>
      <c r="H49" s="1332"/>
      <c r="I49" s="277">
        <f>ROUND(SUM(G49-C49),1)</f>
        <v>-0.5</v>
      </c>
      <c r="J49" s="373"/>
      <c r="K49" s="277">
        <f>ROUND(SUM(G49)-SUM(E49),1)</f>
        <v>-0.5</v>
      </c>
    </row>
    <row r="50" spans="1:11" ht="16.5" thickBot="1">
      <c r="A50" s="3306" t="s">
        <v>1632</v>
      </c>
      <c r="B50" s="387" t="s">
        <v>16</v>
      </c>
      <c r="C50" s="303">
        <f>ROUND(SUM(C47:C49),1)</f>
        <v>4290</v>
      </c>
      <c r="D50" s="388"/>
      <c r="E50" s="303">
        <f>ROUND(SUM(E47:E49),1)</f>
        <v>9187</v>
      </c>
      <c r="F50" s="388"/>
      <c r="G50" s="303">
        <f>ROUND(SUM(G47:G49),1)</f>
        <v>9125.4</v>
      </c>
      <c r="H50" s="388"/>
      <c r="I50" s="303">
        <f>ROUND(SUM(I47:I49),1)</f>
        <v>4835.3999999999996</v>
      </c>
      <c r="J50" s="389"/>
      <c r="K50" s="303">
        <f>ROUND(SUM(K47:K49),1)</f>
        <v>-61.6</v>
      </c>
    </row>
    <row r="51" spans="1:11" ht="15.75" thickTop="1">
      <c r="A51" s="230"/>
      <c r="B51" s="383"/>
      <c r="C51" s="383"/>
      <c r="D51" s="384"/>
      <c r="E51" s="383"/>
      <c r="F51" s="384"/>
      <c r="G51" s="384"/>
      <c r="H51" s="384"/>
      <c r="I51" s="384"/>
      <c r="J51" s="384"/>
      <c r="K51" s="383"/>
    </row>
    <row r="52" spans="1:11">
      <c r="A52" s="2169" t="s">
        <v>1493</v>
      </c>
      <c r="K52" s="2655"/>
    </row>
    <row r="53" spans="1:11">
      <c r="A53" s="2658" t="s">
        <v>1651</v>
      </c>
    </row>
    <row r="54" spans="1:11">
      <c r="A54" s="391"/>
    </row>
    <row r="55" spans="1:11">
      <c r="A55" s="390"/>
    </row>
    <row r="56" spans="1:11">
      <c r="A56" s="390"/>
    </row>
  </sheetData>
  <customSheetViews>
    <customSheetView guid="{BD09DBC2-63A5-4D9C-9B00-4281066E9389}" scale="80" showPageBreaks="1" showGridLines="0" fitToPage="1" printArea="1">
      <selection activeCell="C21" sqref="C21"/>
      <pageMargins left="0.25" right="0.5" top="1" bottom="1" header="0.5" footer="0.25"/>
      <printOptions horizontalCentered="1" verticalCentered="1"/>
      <pageSetup scale="58" firstPageNumber="7" orientation="landscape" useFirstPageNumber="1" r:id="rId1"/>
      <headerFooter scaleWithDoc="0" alignWithMargins="0">
        <oddFooter>&amp;C&amp;P</oddFooter>
      </headerFooter>
    </customSheetView>
    <customSheetView guid="{C82E0A7D-2B5B-48FC-A705-3168E651E04C}" scale="80" showPageBreaks="1" showGridLines="0" fitToPage="1" topLeftCell="A7">
      <selection activeCell="G20" sqref="G20"/>
      <pageMargins left="0.25" right="0.5" top="1" bottom="1" header="0.5" footer="0.25"/>
      <printOptions horizontalCentered="1" verticalCentered="1"/>
      <pageSetup scale="56" orientation="landscape" r:id="rId2"/>
      <headerFooter scaleWithDoc="0" alignWithMargins="0">
        <oddFooter>&amp;C&amp;10 &amp;8 7</oddFooter>
      </headerFooter>
    </customSheetView>
    <customSheetView guid="{A8B05C3B-0E7E-44A3-A097-AF4C5C09F04E}" scale="80" showPageBreaks="1" showGridLines="0" fitToPage="1" printArea="1" topLeftCell="A7">
      <selection activeCell="G20" sqref="G20"/>
      <pageMargins left="0.25" right="0.5" top="1" bottom="1" header="0.5" footer="0.25"/>
      <printOptions horizontalCentered="1" verticalCentered="1"/>
      <pageSetup scale="58" orientation="landscape" r:id="rId3"/>
      <headerFooter scaleWithDoc="0" alignWithMargins="0">
        <oddFooter>&amp;C&amp;10 &amp;8 7</oddFooter>
      </headerFooter>
    </customSheetView>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4"/>
      <headerFooter scaleWithDoc="0" alignWithMargins="0">
        <oddFooter>&amp;C&amp;10 &amp;8 7</oddFooter>
      </headerFooter>
    </customSheetView>
    <customSheetView guid="{4735AAE3-27B4-4549-AAB4-50ACA997F5F5}" scale="80" showPageBreaks="1" showGridLines="0" fitToPage="1" topLeftCell="A10">
      <selection activeCell="C21" sqref="C21"/>
      <pageMargins left="0.25" right="0.5" top="1" bottom="1" header="0.5" footer="0.25"/>
      <printOptions horizontalCentered="1" verticalCentered="1"/>
      <pageSetup scale="56" orientation="landscape" r:id="rId5"/>
      <headerFooter scaleWithDoc="0" alignWithMargins="0">
        <oddFooter>&amp;C&amp;10 &amp;8 7</oddFooter>
      </headerFooter>
    </customSheetView>
    <customSheetView guid="{80622567-647A-4891-B8EE-6B9E2C4DAC44}" scale="80" showPageBreaks="1" showGridLines="0" fitToPage="1" printArea="1" topLeftCell="A16">
      <selection activeCell="I24" sqref="I24"/>
      <pageMargins left="0.25" right="0.5" top="1" bottom="1" header="0.5" footer="0.25"/>
      <printOptions horizontalCentered="1" verticalCentered="1"/>
      <pageSetup scale="58" orientation="landscape" r:id="rId6"/>
      <headerFooter scaleWithDoc="0" alignWithMargins="0">
        <oddFooter>&amp;C&amp;10 &amp;8 7</oddFooter>
      </headerFooter>
    </customSheetView>
    <customSheetView guid="{A97EE6C3-4DA8-41BD-BE43-F596EFCB43CA}" scale="80" showPageBreaks="1" showGridLines="0" fitToPage="1" printArea="1" topLeftCell="A19">
      <selection activeCell="C37" sqref="C37"/>
      <pageMargins left="0.25" right="0.5" top="1" bottom="1" header="0.5" footer="0.25"/>
      <printOptions horizontalCentered="1" verticalCentered="1"/>
      <pageSetup scale="58" orientation="landscape" r:id="rId7"/>
      <headerFooter scaleWithDoc="0" alignWithMargins="0">
        <oddFooter>&amp;C&amp;10 &amp;8 7</oddFooter>
      </headerFooter>
    </customSheetView>
    <customSheetView guid="{90B76C5A-2FC4-40F0-8436-3E4F075A4887}" scale="70" showPageBreaks="1" showGridLines="0" fitToPage="1" printArea="1">
      <selection activeCell="I24" sqref="I24"/>
      <pageMargins left="0.25" right="0.5" top="1" bottom="1" header="0.5" footer="0.25"/>
      <printOptions horizontalCentered="1" verticalCentered="1"/>
      <pageSetup scale="58" orientation="landscape" r:id="rId8"/>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9"/>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dimension ref="A1:L55"/>
  <sheetViews>
    <sheetView showGridLines="0" zoomScale="80" zoomScaleNormal="80" workbookViewId="0"/>
  </sheetViews>
  <sheetFormatPr defaultRowHeight="15"/>
  <cols>
    <col min="1" max="1" width="45.6640625" style="306" customWidth="1"/>
    <col min="2" max="2" width="2.44140625" style="306" customWidth="1"/>
    <col min="3" max="3" width="15.33203125" style="306" customWidth="1"/>
    <col min="4" max="4" width="3.77734375" style="306" customWidth="1"/>
    <col min="5" max="5" width="15.33203125" style="306" customWidth="1"/>
    <col min="6" max="6" width="3.21875" style="306" customWidth="1"/>
    <col min="7" max="7" width="15.33203125" style="306" customWidth="1"/>
    <col min="8" max="8" width="3.88671875" style="306" customWidth="1"/>
    <col min="9" max="9" width="15.33203125" style="306" customWidth="1"/>
    <col min="10" max="10" width="3" style="306" customWidth="1"/>
    <col min="11" max="11" width="15.33203125" style="306" customWidth="1"/>
    <col min="12" max="16384" width="8.88671875" style="306"/>
  </cols>
  <sheetData>
    <row r="1" spans="1:11">
      <c r="A1" s="2155" t="s">
        <v>1322</v>
      </c>
    </row>
    <row r="2" spans="1:11">
      <c r="A2" s="1876"/>
    </row>
    <row r="3" spans="1:11" ht="18">
      <c r="A3" s="347" t="s">
        <v>0</v>
      </c>
      <c r="B3" s="348"/>
      <c r="C3" s="348"/>
      <c r="D3" s="349"/>
      <c r="E3" s="348"/>
      <c r="F3" s="349"/>
      <c r="G3" s="349"/>
      <c r="H3" s="349"/>
      <c r="I3" s="349"/>
      <c r="J3" s="349"/>
      <c r="K3" s="350" t="s">
        <v>87</v>
      </c>
    </row>
    <row r="4" spans="1:11" ht="18">
      <c r="A4" s="347" t="s">
        <v>86</v>
      </c>
      <c r="B4" s="348"/>
      <c r="C4" s="348"/>
      <c r="D4" s="349"/>
      <c r="E4" s="348"/>
      <c r="F4" s="349"/>
      <c r="G4" s="349"/>
      <c r="H4" s="349"/>
      <c r="I4" s="350"/>
      <c r="J4" s="351"/>
      <c r="K4" s="1873" t="s">
        <v>108</v>
      </c>
    </row>
    <row r="5" spans="1:11" ht="20.25" customHeight="1">
      <c r="A5" s="3352" t="s">
        <v>1176</v>
      </c>
      <c r="B5" s="3353"/>
      <c r="C5" s="3353"/>
      <c r="D5" s="3353"/>
      <c r="E5" s="3353"/>
      <c r="F5" s="349"/>
      <c r="G5" s="352"/>
      <c r="H5" s="349"/>
      <c r="I5" s="1873"/>
      <c r="J5" s="349"/>
    </row>
    <row r="6" spans="1:11" ht="18.75" customHeight="1">
      <c r="A6" s="1871" t="str">
        <f>'Exh D-Governmental  '!A6</f>
        <v>FOR SEVEN MONTHS ENDED OCTOBER 31, 2014</v>
      </c>
      <c r="B6" s="354"/>
      <c r="C6" s="355"/>
      <c r="D6" s="349"/>
      <c r="E6" s="355"/>
      <c r="F6" s="349"/>
      <c r="G6" s="349"/>
      <c r="H6" s="349"/>
      <c r="I6" s="349"/>
      <c r="J6" s="349"/>
      <c r="K6" s="349"/>
    </row>
    <row r="7" spans="1:11" ht="18">
      <c r="A7" s="398" t="s">
        <v>1199</v>
      </c>
      <c r="B7" s="355"/>
      <c r="C7" s="355"/>
      <c r="D7" s="349"/>
      <c r="E7" s="355"/>
      <c r="F7" s="349"/>
      <c r="G7" s="349"/>
      <c r="H7" s="349"/>
      <c r="I7" s="349"/>
      <c r="J7" s="349"/>
      <c r="K7" s="349"/>
    </row>
    <row r="8" spans="1:11" ht="18">
      <c r="A8" s="356"/>
      <c r="B8" s="349"/>
      <c r="C8" s="349"/>
      <c r="D8" s="349"/>
      <c r="E8" s="349"/>
      <c r="F8" s="349"/>
      <c r="G8" s="349"/>
      <c r="H8" s="349"/>
      <c r="I8" s="349"/>
      <c r="J8" s="349"/>
      <c r="K8" s="349"/>
    </row>
    <row r="9" spans="1:11">
      <c r="A9" s="357"/>
      <c r="B9" s="349"/>
      <c r="C9" s="349"/>
      <c r="D9" s="349"/>
      <c r="E9" s="349"/>
      <c r="F9" s="349"/>
      <c r="G9" s="349"/>
      <c r="H9" s="349"/>
      <c r="I9" s="349"/>
      <c r="J9" s="349"/>
      <c r="K9" s="349"/>
    </row>
    <row r="10" spans="1:11">
      <c r="A10" s="357"/>
      <c r="B10" s="349"/>
      <c r="C10" s="349"/>
      <c r="D10" s="349"/>
      <c r="E10" s="349"/>
      <c r="F10" s="349"/>
      <c r="G10" s="349"/>
      <c r="H10" s="349"/>
      <c r="I10" s="349"/>
      <c r="J10" s="349"/>
      <c r="K10" s="349"/>
    </row>
    <row r="11" spans="1:11" ht="15.75">
      <c r="A11" s="1407"/>
      <c r="B11" s="358"/>
      <c r="C11" s="3354" t="s">
        <v>1611</v>
      </c>
      <c r="D11" s="3354"/>
      <c r="E11" s="3354"/>
      <c r="F11" s="3354"/>
      <c r="G11" s="3354"/>
      <c r="H11" s="3354"/>
      <c r="I11" s="3354"/>
      <c r="J11" s="2623"/>
      <c r="K11" s="2617"/>
    </row>
    <row r="12" spans="1:11" ht="15.75">
      <c r="A12" s="1407"/>
      <c r="B12" s="358"/>
      <c r="C12" s="359"/>
      <c r="D12" s="359"/>
      <c r="E12" s="359"/>
      <c r="F12" s="359"/>
      <c r="G12" s="359"/>
      <c r="H12" s="359"/>
      <c r="I12" s="360" t="s">
        <v>88</v>
      </c>
      <c r="J12" s="360"/>
      <c r="K12" s="360" t="s">
        <v>88</v>
      </c>
    </row>
    <row r="13" spans="1:11" ht="15.75">
      <c r="A13" s="1407"/>
      <c r="B13" s="358"/>
      <c r="C13" s="359"/>
      <c r="D13" s="359"/>
      <c r="E13" s="359"/>
      <c r="F13" s="359"/>
      <c r="G13" s="359"/>
      <c r="H13" s="359"/>
      <c r="I13" s="360" t="s">
        <v>1206</v>
      </c>
      <c r="J13" s="360"/>
      <c r="K13" s="360" t="s">
        <v>1206</v>
      </c>
    </row>
    <row r="14" spans="1:11" ht="15.75">
      <c r="A14" s="1407"/>
      <c r="B14" s="358"/>
      <c r="C14" s="361" t="s">
        <v>1490</v>
      </c>
      <c r="D14" s="359"/>
      <c r="E14" s="360" t="s">
        <v>1491</v>
      </c>
      <c r="F14" s="359"/>
      <c r="G14" s="359"/>
      <c r="H14" s="359"/>
      <c r="I14" s="360" t="s">
        <v>89</v>
      </c>
      <c r="J14" s="360"/>
      <c r="K14" s="360" t="s">
        <v>89</v>
      </c>
    </row>
    <row r="15" spans="1:11" ht="15.75">
      <c r="A15" s="1407"/>
      <c r="B15" s="358"/>
      <c r="C15" s="360" t="s">
        <v>1536</v>
      </c>
      <c r="D15" s="359"/>
      <c r="E15" s="360" t="s">
        <v>1536</v>
      </c>
      <c r="F15" s="359"/>
      <c r="G15" s="359"/>
      <c r="H15" s="359"/>
      <c r="I15" s="360" t="s">
        <v>1490</v>
      </c>
      <c r="J15" s="360"/>
      <c r="K15" s="360" t="s">
        <v>1491</v>
      </c>
    </row>
    <row r="16" spans="1:11" ht="15.75">
      <c r="A16" s="1407"/>
      <c r="B16" s="358"/>
      <c r="C16" s="360" t="s">
        <v>1537</v>
      </c>
      <c r="D16" s="359"/>
      <c r="E16" s="360" t="s">
        <v>1540</v>
      </c>
      <c r="F16" s="359"/>
      <c r="G16" s="361" t="s">
        <v>88</v>
      </c>
      <c r="H16" s="359"/>
      <c r="I16" s="360" t="s">
        <v>90</v>
      </c>
      <c r="J16" s="360"/>
      <c r="K16" s="360" t="s">
        <v>90</v>
      </c>
    </row>
    <row r="17" spans="1:12">
      <c r="A17" s="362"/>
      <c r="B17" s="363"/>
      <c r="C17" s="364"/>
      <c r="D17" s="349"/>
      <c r="E17" s="364"/>
      <c r="F17" s="349"/>
      <c r="G17" s="364"/>
      <c r="H17" s="349"/>
      <c r="I17" s="364"/>
      <c r="J17" s="363"/>
      <c r="K17" s="364"/>
    </row>
    <row r="18" spans="1:12" ht="15.75">
      <c r="A18" s="225" t="s">
        <v>15</v>
      </c>
      <c r="B18" s="2156"/>
      <c r="C18" s="1294"/>
      <c r="D18" s="1294"/>
      <c r="E18" s="1294"/>
      <c r="F18" s="1294"/>
      <c r="G18" s="1294"/>
      <c r="H18" s="1294"/>
      <c r="I18" s="2156"/>
      <c r="J18" s="1294"/>
      <c r="K18" s="2156"/>
    </row>
    <row r="19" spans="1:12" ht="15" customHeight="1">
      <c r="A19" s="1863" t="s">
        <v>91</v>
      </c>
      <c r="B19" s="2157" t="s">
        <v>16</v>
      </c>
      <c r="C19" s="2158"/>
      <c r="D19" s="2157"/>
      <c r="E19" s="2158"/>
      <c r="F19" s="2157"/>
      <c r="G19" s="2159"/>
      <c r="H19" s="2157"/>
      <c r="I19" s="2653"/>
      <c r="J19" s="2159"/>
      <c r="K19" s="2653"/>
    </row>
    <row r="20" spans="1:12">
      <c r="A20" s="1863" t="s">
        <v>92</v>
      </c>
      <c r="B20" s="2157" t="s">
        <v>16</v>
      </c>
      <c r="C20" s="1295">
        <f>'Exh D General Fund  '!C20+'Exh D Special Revenue State Fed'!C20+'Exh D Debt Service'!C20</f>
        <v>22496</v>
      </c>
      <c r="D20" s="1297"/>
      <c r="E20" s="1295">
        <f>'Exh D General Fund  '!E20+'Exh D Special Revenue State Fed'!E20+'Exh D Debt Service'!E20</f>
        <v>23364</v>
      </c>
      <c r="F20" s="1297"/>
      <c r="G20" s="1295">
        <f>+'Exh A Supp'!T17</f>
        <v>23373.7</v>
      </c>
      <c r="H20" s="1297"/>
      <c r="I20" s="2244">
        <f t="shared" ref="I20:I25" si="0">ROUND(SUM(G20)-SUM(C20),1)</f>
        <v>877.7</v>
      </c>
      <c r="J20" s="2160"/>
      <c r="K20" s="2244">
        <f t="shared" ref="K20:K25" si="1">ROUND(SUM(G20)-SUM(E20),1)</f>
        <v>9.6999999999999993</v>
      </c>
    </row>
    <row r="21" spans="1:12">
      <c r="A21" s="1863" t="s">
        <v>93</v>
      </c>
      <c r="B21" s="2156" t="s">
        <v>16</v>
      </c>
      <c r="C21" s="1214">
        <f>'Exh D General Fund  '!C21+'Exh D Special Revenue State Fed'!C21+'Exh D Debt Service'!C21</f>
        <v>8545</v>
      </c>
      <c r="D21" s="1214"/>
      <c r="E21" s="1214">
        <f>'Exh D General Fund  '!E21+'Exh D Special Revenue State Fed'!E21+'Exh D Debt Service'!E21</f>
        <v>8702</v>
      </c>
      <c r="F21" s="1214"/>
      <c r="G21" s="1214">
        <f>+'Exh A Supp'!T18</f>
        <v>8690.2000000000007</v>
      </c>
      <c r="H21" s="1214"/>
      <c r="I21" s="2176">
        <f t="shared" si="0"/>
        <v>145.19999999999999</v>
      </c>
      <c r="J21" s="2160"/>
      <c r="K21" s="2176">
        <f t="shared" si="1"/>
        <v>-11.8</v>
      </c>
    </row>
    <row r="22" spans="1:12" ht="17.25" customHeight="1">
      <c r="A22" s="1863" t="s">
        <v>94</v>
      </c>
      <c r="B22" s="2157" t="s">
        <v>16</v>
      </c>
      <c r="C22" s="1214">
        <f>'Exh D General Fund  '!C22+'Exh D Special Revenue State Fed'!C22</f>
        <v>3002</v>
      </c>
      <c r="D22" s="1372"/>
      <c r="E22" s="1214">
        <f>'Exh D General Fund  '!E22+'Exh D Special Revenue State Fed'!E22</f>
        <v>3610</v>
      </c>
      <c r="F22" s="1372"/>
      <c r="G22" s="1214">
        <f>+'Exh A Supp'!T19</f>
        <v>3606.4</v>
      </c>
      <c r="H22" s="1372"/>
      <c r="I22" s="2176">
        <f t="shared" si="0"/>
        <v>604.4</v>
      </c>
      <c r="J22" s="2160"/>
      <c r="K22" s="2176">
        <f t="shared" si="1"/>
        <v>-3.6</v>
      </c>
    </row>
    <row r="23" spans="1:12" ht="14.25" customHeight="1">
      <c r="A23" s="1863" t="s">
        <v>95</v>
      </c>
      <c r="B23" s="2156" t="s">
        <v>16</v>
      </c>
      <c r="C23" s="1214">
        <f>'Exh D General Fund  '!C23+'Exh D Special Revenue State Fed'!C23+'Exh D Debt Service'!C22</f>
        <v>1903</v>
      </c>
      <c r="D23" s="1214"/>
      <c r="E23" s="1214">
        <f>'Exh D General Fund  '!E23+'Exh D Special Revenue State Fed'!E23+'Exh D Debt Service'!E22</f>
        <v>1890</v>
      </c>
      <c r="F23" s="1214"/>
      <c r="G23" s="1214">
        <f>+'Exh A Supp'!T20</f>
        <v>1884.1</v>
      </c>
      <c r="H23" s="1214"/>
      <c r="I23" s="2176">
        <f t="shared" si="0"/>
        <v>-18.899999999999999</v>
      </c>
      <c r="J23" s="2160"/>
      <c r="K23" s="2176">
        <f t="shared" si="1"/>
        <v>-5.9</v>
      </c>
    </row>
    <row r="24" spans="1:12">
      <c r="A24" s="1863" t="s">
        <v>21</v>
      </c>
      <c r="B24" s="2156" t="s">
        <v>16</v>
      </c>
      <c r="C24" s="1214">
        <f>'Exh D General Fund  '!C24+'Exh D Special Revenue State Fed'!C24+'Exh D Debt Service'!C23</f>
        <v>11684</v>
      </c>
      <c r="D24" s="1214"/>
      <c r="E24" s="1214">
        <f>'Exh D General Fund  '!E24+'Exh D Special Revenue State Fed'!E24+'Exh D Debt Service'!E23</f>
        <v>15541</v>
      </c>
      <c r="F24" s="1214"/>
      <c r="G24" s="1214">
        <f>+'Exh A Supp'!T21</f>
        <v>15538.2</v>
      </c>
      <c r="H24" s="1214"/>
      <c r="I24" s="2176">
        <f t="shared" si="0"/>
        <v>3854.2</v>
      </c>
      <c r="J24" s="1857"/>
      <c r="K24" s="2176">
        <f t="shared" si="1"/>
        <v>-2.8</v>
      </c>
    </row>
    <row r="25" spans="1:12" ht="15" customHeight="1">
      <c r="A25" s="1863" t="s">
        <v>22</v>
      </c>
      <c r="B25" s="2156" t="s">
        <v>16</v>
      </c>
      <c r="C25" s="1403">
        <f>'Exh D General Fund  '!C25+'Exh D Special Revenue State Fed'!C25+'Exh D Debt Service'!C24</f>
        <v>37</v>
      </c>
      <c r="D25" s="1214"/>
      <c r="E25" s="1403">
        <f>'Exh D General Fund  '!E25+'Exh D Special Revenue State Fed'!E25+'Exh D Debt Service'!E24</f>
        <v>38</v>
      </c>
      <c r="F25" s="1214"/>
      <c r="G25" s="1214">
        <f>+'Exh A Supp'!T22</f>
        <v>37.299999999999997</v>
      </c>
      <c r="H25" s="1214"/>
      <c r="I25" s="2176">
        <f t="shared" si="0"/>
        <v>0.3</v>
      </c>
      <c r="J25" s="1857"/>
      <c r="K25" s="2176">
        <f t="shared" si="1"/>
        <v>-0.7</v>
      </c>
    </row>
    <row r="26" spans="1:12" ht="15.75">
      <c r="A26" s="380" t="s">
        <v>96</v>
      </c>
      <c r="B26" s="358" t="s">
        <v>16</v>
      </c>
      <c r="C26" s="425">
        <f>ROUND(SUM(C20:C25),1)</f>
        <v>47667</v>
      </c>
      <c r="D26" s="2154"/>
      <c r="E26" s="425">
        <f>ROUND(SUM(E20:E25),1)</f>
        <v>53145</v>
      </c>
      <c r="F26" s="2154"/>
      <c r="G26" s="425">
        <f>ROUND(SUM(G20:G25),1)</f>
        <v>53129.9</v>
      </c>
      <c r="H26" s="2154"/>
      <c r="I26" s="425">
        <f>ROUND(SUM(I20:I25),1)</f>
        <v>5462.9</v>
      </c>
      <c r="J26" s="373"/>
      <c r="K26" s="425">
        <f>ROUND(SUM(K20:K25),1)</f>
        <v>-15.1</v>
      </c>
      <c r="L26" s="696"/>
    </row>
    <row r="27" spans="1:12">
      <c r="A27" s="1407"/>
      <c r="B27" s="2156" t="s">
        <v>16</v>
      </c>
      <c r="C27" s="1405"/>
      <c r="D27" s="1214"/>
      <c r="E27" s="1405"/>
      <c r="F27" s="1214"/>
      <c r="G27" s="1405"/>
      <c r="H27" s="1214"/>
      <c r="I27" s="1405"/>
      <c r="J27" s="1310"/>
      <c r="K27" s="1405"/>
    </row>
    <row r="28" spans="1:12" ht="15.75">
      <c r="A28" s="225" t="s">
        <v>24</v>
      </c>
      <c r="B28" s="2156" t="s">
        <v>16</v>
      </c>
      <c r="C28" s="1214"/>
      <c r="D28" s="1214"/>
      <c r="E28" s="1214"/>
      <c r="F28" s="1214"/>
      <c r="G28" s="1214"/>
      <c r="H28" s="1214"/>
      <c r="I28" s="2176"/>
      <c r="J28" s="1857"/>
      <c r="K28" s="2176"/>
    </row>
    <row r="29" spans="1:12">
      <c r="A29" s="1863" t="s">
        <v>97</v>
      </c>
      <c r="B29" s="2156" t="s">
        <v>16</v>
      </c>
      <c r="C29" s="1403">
        <f>'Exh D General Fund  '!C34+'Exh D Special Revenue State Fed'!C30</f>
        <v>31829</v>
      </c>
      <c r="D29" s="1214"/>
      <c r="E29" s="1403">
        <f>'Exh D General Fund  '!E34+'Exh D Special Revenue State Fed'!E30</f>
        <v>31490</v>
      </c>
      <c r="F29" s="1214"/>
      <c r="G29" s="1403">
        <f>+'Exh A Supp'!T37</f>
        <v>31500.9</v>
      </c>
      <c r="H29" s="1214"/>
      <c r="I29" s="2176">
        <f>ROUND(SUM(G29)-SUM(C29),1)</f>
        <v>-328.1</v>
      </c>
      <c r="J29" s="1857"/>
      <c r="K29" s="2176">
        <f>ROUND(SUM(G29)-SUM(E29),1)</f>
        <v>10.9</v>
      </c>
      <c r="L29" s="696"/>
    </row>
    <row r="30" spans="1:12">
      <c r="A30" s="1863" t="s">
        <v>98</v>
      </c>
      <c r="B30" s="2156" t="s">
        <v>16</v>
      </c>
      <c r="C30" s="1372">
        <f>'Exh D General Fund  '!C35+'Exh D Special Revenue State Fed'!C31+'Exh D Debt Service'!C29</f>
        <v>10560</v>
      </c>
      <c r="D30" s="1214"/>
      <c r="E30" s="1372">
        <f>'Exh D General Fund  '!E35+'Exh D Special Revenue State Fed'!E31+'Exh D Debt Service'!E29</f>
        <v>10449</v>
      </c>
      <c r="F30" s="1214"/>
      <c r="G30" s="1372">
        <f>+'Exh A Supp'!T39+'Exh A Supp'!T40</f>
        <v>10465.200000000001</v>
      </c>
      <c r="H30" s="1214"/>
      <c r="I30" s="2176">
        <f>ROUND(SUM(G30)-SUM(C30),1)</f>
        <v>-94.8</v>
      </c>
      <c r="J30" s="1857"/>
      <c r="K30" s="2176">
        <f>ROUND(SUM(G30)-SUM(E30),1)</f>
        <v>16.2</v>
      </c>
      <c r="L30" s="696"/>
    </row>
    <row r="31" spans="1:12">
      <c r="A31" s="1863" t="s">
        <v>73</v>
      </c>
      <c r="B31" s="2156" t="s">
        <v>16</v>
      </c>
      <c r="C31" s="1403">
        <f>'Exh D General Fund  '!C36+'Exh D Special Revenue State Fed'!C32</f>
        <v>4647</v>
      </c>
      <c r="D31" s="1214"/>
      <c r="E31" s="1403">
        <f>'Exh D General Fund  '!E36+'Exh D Special Revenue State Fed'!E32</f>
        <v>4905</v>
      </c>
      <c r="F31" s="1214"/>
      <c r="G31" s="1403">
        <f>+'Exh A Supp'!T41</f>
        <v>4916.3</v>
      </c>
      <c r="H31" s="1214"/>
      <c r="I31" s="2176">
        <f>ROUND(SUM(G31)-SUM(C31),1)</f>
        <v>269.3</v>
      </c>
      <c r="J31" s="1857"/>
      <c r="K31" s="2176">
        <f>ROUND(SUM(G31)-SUM(E31),1)</f>
        <v>11.3</v>
      </c>
      <c r="L31" s="696"/>
    </row>
    <row r="32" spans="1:12">
      <c r="A32" s="1863" t="s">
        <v>99</v>
      </c>
      <c r="B32" s="2156" t="s">
        <v>16</v>
      </c>
      <c r="C32" s="1372">
        <f>'Exh D Debt Service'!C30</f>
        <v>2016</v>
      </c>
      <c r="D32" s="1214"/>
      <c r="E32" s="1372">
        <f>'Exh D Debt Service'!E30</f>
        <v>1995</v>
      </c>
      <c r="F32" s="1214"/>
      <c r="G32" s="1403">
        <f>+'Exh A Supp'!T43</f>
        <v>2052.3000000000002</v>
      </c>
      <c r="H32" s="1214"/>
      <c r="I32" s="2176">
        <f>ROUND(SUM(G32)-SUM(C32),1)</f>
        <v>36.299999999999997</v>
      </c>
      <c r="J32" s="1857"/>
      <c r="K32" s="2176">
        <f>ROUND(SUM(G32)-SUM(E32),1)</f>
        <v>57.3</v>
      </c>
      <c r="L32" s="696"/>
    </row>
    <row r="33" spans="1:12" ht="15" customHeight="1">
      <c r="A33" s="1863" t="s">
        <v>43</v>
      </c>
      <c r="B33" s="2156" t="s">
        <v>16</v>
      </c>
      <c r="C33" s="1403">
        <f>'Exh D Special Revenue State Fed'!C33</f>
        <v>0</v>
      </c>
      <c r="D33" s="1214"/>
      <c r="E33" s="1403">
        <f>'Exh D Special Revenue State Fed'!E33</f>
        <v>-1</v>
      </c>
      <c r="F33" s="1214"/>
      <c r="G33" s="1403">
        <f>+'Exh A Supp'!T44</f>
        <v>1</v>
      </c>
      <c r="H33" s="1214"/>
      <c r="I33" s="2176">
        <f>ROUND(SUM(G33)-SUM(C33),1)</f>
        <v>1</v>
      </c>
      <c r="J33" s="1857"/>
      <c r="K33" s="2176">
        <f>ROUND(SUM(G33)-SUM(E33),1)</f>
        <v>2</v>
      </c>
      <c r="L33" s="696"/>
    </row>
    <row r="34" spans="1:12" ht="15.75" customHeight="1">
      <c r="A34" s="380" t="s">
        <v>100</v>
      </c>
      <c r="B34" s="358" t="s">
        <v>16</v>
      </c>
      <c r="C34" s="550">
        <f>ROUND(SUM(C29:C33),1)</f>
        <v>49052</v>
      </c>
      <c r="D34" s="2154"/>
      <c r="E34" s="550">
        <f>ROUND(SUM(E29:E33),1)</f>
        <v>48838</v>
      </c>
      <c r="F34" s="2154"/>
      <c r="G34" s="550">
        <f>ROUND(SUM(G29:G33),1)</f>
        <v>48935.7</v>
      </c>
      <c r="H34" s="2154"/>
      <c r="I34" s="550">
        <f>ROUND(SUM(I29:I33),1)</f>
        <v>-116.3</v>
      </c>
      <c r="J34" s="373"/>
      <c r="K34" s="550">
        <f>ROUND(SUM(K29:K33),1)</f>
        <v>97.7</v>
      </c>
      <c r="L34" s="696"/>
    </row>
    <row r="35" spans="1:12">
      <c r="A35" s="1407"/>
      <c r="B35" s="2156"/>
      <c r="C35" s="1214"/>
      <c r="D35" s="1214"/>
      <c r="E35" s="1214"/>
      <c r="F35" s="1214"/>
      <c r="G35" s="1214"/>
      <c r="H35" s="1214"/>
      <c r="I35" s="2176"/>
      <c r="J35" s="1857"/>
      <c r="K35" s="2176"/>
      <c r="L35" s="696"/>
    </row>
    <row r="36" spans="1:12" ht="15.75">
      <c r="A36" s="380" t="s">
        <v>45</v>
      </c>
      <c r="B36" s="2156"/>
      <c r="C36" s="1214"/>
      <c r="D36" s="1214"/>
      <c r="E36" s="1214"/>
      <c r="F36" s="1214"/>
      <c r="G36" s="1214"/>
      <c r="H36" s="1214"/>
      <c r="I36" s="2176"/>
      <c r="J36" s="1857"/>
      <c r="K36" s="2176"/>
      <c r="L36" s="696"/>
    </row>
    <row r="37" spans="1:12" ht="15.75">
      <c r="A37" s="380" t="s">
        <v>46</v>
      </c>
      <c r="B37" s="2156" t="s">
        <v>16</v>
      </c>
      <c r="C37" s="1883">
        <f>ROUND(SUM(+C26-C34),1)</f>
        <v>-1385</v>
      </c>
      <c r="D37" s="1214"/>
      <c r="E37" s="1883">
        <f>ROUND(SUM(+E26-E34),1)</f>
        <v>4307</v>
      </c>
      <c r="F37" s="1214"/>
      <c r="G37" s="1883">
        <f>ROUND(SUM(+G26-G34),1)</f>
        <v>4194.2</v>
      </c>
      <c r="H37" s="1214"/>
      <c r="I37" s="1883">
        <f>ROUND(SUM(+I26-I34),1)</f>
        <v>5579.2</v>
      </c>
      <c r="J37" s="1310"/>
      <c r="K37" s="1883">
        <f>ROUND(SUM(+K26-K34),1)</f>
        <v>-112.8</v>
      </c>
      <c r="L37" s="696"/>
    </row>
    <row r="38" spans="1:12">
      <c r="A38" s="1407"/>
      <c r="B38" s="2156"/>
      <c r="C38" s="1214"/>
      <c r="D38" s="1214"/>
      <c r="E38" s="1214"/>
      <c r="F38" s="1214"/>
      <c r="G38" s="1214"/>
      <c r="H38" s="1214"/>
      <c r="I38" s="2176"/>
      <c r="J38" s="1857"/>
      <c r="K38" s="2176"/>
      <c r="L38" s="696"/>
    </row>
    <row r="39" spans="1:12" ht="15.75">
      <c r="A39" s="380" t="s">
        <v>47</v>
      </c>
      <c r="B39" s="2156"/>
      <c r="C39" s="1214"/>
      <c r="D39" s="1214"/>
      <c r="E39" s="1214"/>
      <c r="F39" s="1214"/>
      <c r="G39" s="1214"/>
      <c r="H39" s="1214"/>
      <c r="I39" s="2176"/>
      <c r="J39" s="1857"/>
      <c r="K39" s="2176"/>
      <c r="L39" s="696"/>
    </row>
    <row r="40" spans="1:12">
      <c r="A40" s="1863" t="s">
        <v>49</v>
      </c>
      <c r="B40" s="2156" t="s">
        <v>16</v>
      </c>
      <c r="C40" s="1372">
        <f>'Exh D General Fund  '!C27+'Exh D General Fund  '!C28+'Exh D General Fund  '!C29+'Exh D General Fund  '!C30+'Exh D Special Revenue State Fed'!C26+'Exh D Debt Service'!C25</f>
        <v>16408</v>
      </c>
      <c r="D40" s="1214"/>
      <c r="E40" s="1372">
        <f>'Exh D General Fund  '!E27+'Exh D General Fund  '!E28+'Exh D General Fund  '!E29+'Exh D General Fund  '!E30+'Exh D Special Revenue State Fed'!E26+'Exh D Debt Service'!E25</f>
        <v>16120</v>
      </c>
      <c r="F40" s="1214"/>
      <c r="G40" s="1372">
        <f>+'Exh A Supp'!T51</f>
        <v>16266.9</v>
      </c>
      <c r="H40" s="2960" t="s">
        <v>1170</v>
      </c>
      <c r="I40" s="2176">
        <f>ROUND(SUM(G40)-SUM(C40),1)</f>
        <v>-141.1</v>
      </c>
      <c r="J40" s="1857"/>
      <c r="K40" s="2176">
        <f>ROUND(SUM(G40)-SUM(E40),1)</f>
        <v>146.9</v>
      </c>
      <c r="L40" s="696"/>
    </row>
    <row r="41" spans="1:12">
      <c r="A41" s="1863" t="s">
        <v>102</v>
      </c>
      <c r="B41" s="2156" t="s">
        <v>16</v>
      </c>
      <c r="C41" s="2161">
        <f>-('Exh D General Fund  '!C38+'Exh D General Fund  '!C39+'Exh D General Fund  '!C40+'Exh D General Fund  '!C41+'Exh D General Fund  '!C42+'Exh D Special Revenue State Fed'!C34+'Exh D Debt Service'!C31)</f>
        <v>-14435</v>
      </c>
      <c r="D41" s="1214"/>
      <c r="E41" s="2161">
        <f>-('Exh D General Fund  '!E38+'Exh D General Fund  '!E39+'Exh D General Fund  '!E40+'Exh D General Fund  '!E41+'Exh D General Fund  '!E42+'Exh D Special Revenue State Fed'!E34+'Exh D Debt Service'!E31)</f>
        <v>-14684</v>
      </c>
      <c r="F41" s="1214"/>
      <c r="G41" s="1372">
        <f>+'Exh A Supp'!T52</f>
        <v>-14743.2</v>
      </c>
      <c r="H41" s="2960" t="s">
        <v>1170</v>
      </c>
      <c r="I41" s="2176">
        <f>ROUND(SUM(G41)-SUM(C41),1)</f>
        <v>-308.2</v>
      </c>
      <c r="J41" s="1310"/>
      <c r="K41" s="2176">
        <f>ROUND(SUM(G41)-SUM(E41),1)</f>
        <v>-59.2</v>
      </c>
      <c r="L41" s="696"/>
    </row>
    <row r="42" spans="1:12" ht="15.75">
      <c r="A42" s="380" t="s">
        <v>103</v>
      </c>
      <c r="B42" s="2156" t="s">
        <v>16</v>
      </c>
      <c r="C42" s="550">
        <f>ROUND(SUM(C40:C41),1)</f>
        <v>1973</v>
      </c>
      <c r="D42" s="1214"/>
      <c r="E42" s="550">
        <f>ROUND(SUM(E40:E41),1)</f>
        <v>1436</v>
      </c>
      <c r="F42" s="1214"/>
      <c r="G42" s="550">
        <f>ROUND(SUM(G40:G41),1)</f>
        <v>1523.7</v>
      </c>
      <c r="H42" s="1214"/>
      <c r="I42" s="550">
        <f>ROUND(SUM(I40+I41),1)</f>
        <v>-449.3</v>
      </c>
      <c r="J42" s="2163"/>
      <c r="K42" s="550">
        <f>ROUND(SUM(K40:K41),1)</f>
        <v>87.7</v>
      </c>
      <c r="L42" s="696"/>
    </row>
    <row r="43" spans="1:12" ht="15.75">
      <c r="A43" s="380"/>
      <c r="B43" s="2156"/>
      <c r="C43" s="1372"/>
      <c r="D43" s="1214"/>
      <c r="E43" s="1372"/>
      <c r="F43" s="1214"/>
      <c r="G43" s="1372"/>
      <c r="H43" s="1214"/>
      <c r="I43" s="2177"/>
      <c r="J43" s="2157"/>
      <c r="K43" s="2177"/>
      <c r="L43" s="696"/>
    </row>
    <row r="44" spans="1:12" ht="15.75">
      <c r="A44" s="225" t="s">
        <v>104</v>
      </c>
      <c r="B44" s="2156"/>
      <c r="C44" s="1214"/>
      <c r="D44" s="1214"/>
      <c r="E44" s="1214"/>
      <c r="F44" s="1214"/>
      <c r="G44" s="1214"/>
      <c r="H44" s="1214"/>
      <c r="I44" s="2176"/>
      <c r="J44" s="1857"/>
      <c r="K44" s="2176"/>
      <c r="L44" s="696"/>
    </row>
    <row r="45" spans="1:12" ht="15" customHeight="1">
      <c r="A45" s="225" t="s">
        <v>105</v>
      </c>
      <c r="B45" s="2156"/>
      <c r="C45" s="1214"/>
      <c r="D45" s="1214"/>
      <c r="E45" s="1214"/>
      <c r="F45" s="1214"/>
      <c r="G45" s="1214"/>
      <c r="H45" s="1214"/>
      <c r="I45" s="2176"/>
      <c r="J45" s="1857"/>
      <c r="K45" s="2176"/>
      <c r="L45" s="696"/>
    </row>
    <row r="46" spans="1:12" ht="15.75">
      <c r="A46" s="380" t="s">
        <v>106</v>
      </c>
      <c r="B46" s="381" t="s">
        <v>16</v>
      </c>
      <c r="C46" s="277">
        <f>ROUND(SUM(C26)-SUM(C34)+C42,1)</f>
        <v>588</v>
      </c>
      <c r="D46" s="288"/>
      <c r="E46" s="277">
        <f>ROUND(SUM(E26)-SUM(E34)+E42,1)</f>
        <v>5743</v>
      </c>
      <c r="F46" s="288"/>
      <c r="G46" s="277">
        <f>ROUND(SUM(G26)-SUM(G34)+G42,1)</f>
        <v>5717.9</v>
      </c>
      <c r="H46" s="288"/>
      <c r="I46" s="277">
        <f>ROUND(SUM(I26)-SUM(I34)+I42,1)</f>
        <v>5129.8999999999996</v>
      </c>
      <c r="J46" s="373"/>
      <c r="K46" s="277">
        <f>ROUND(SUM(K26)-SUM(K34)+K42,1)</f>
        <v>-25.1</v>
      </c>
      <c r="L46" s="696"/>
    </row>
    <row r="47" spans="1:12">
      <c r="A47" s="2164"/>
      <c r="B47" s="1173"/>
      <c r="C47" s="1312"/>
      <c r="D47" s="2165"/>
      <c r="E47" s="1312"/>
      <c r="F47" s="2165"/>
      <c r="G47" s="1312"/>
      <c r="H47" s="2165"/>
      <c r="I47" s="1312"/>
      <c r="J47" s="2166"/>
      <c r="K47" s="1312"/>
      <c r="L47" s="696"/>
    </row>
    <row r="48" spans="1:12" ht="15.75">
      <c r="A48" s="380" t="str">
        <f>'Exh D-Governmental  '!A49</f>
        <v>Fund Balances (Deficits) at April 1</v>
      </c>
      <c r="B48" s="2167" t="s">
        <v>16</v>
      </c>
      <c r="C48" s="277">
        <f>'Exh D General Fund  '!C49+'Exh D Special Revenue State Fed'!C41+'Exh D Debt Service'!C38</f>
        <v>4789</v>
      </c>
      <c r="D48" s="2165"/>
      <c r="E48" s="277">
        <f>'Exh D General Fund  '!E49+'Exh D Special Revenue State Fed'!E41+'Exh D Debt Service'!E38</f>
        <v>4789</v>
      </c>
      <c r="F48" s="2165"/>
      <c r="G48" s="277">
        <f>'Exh A Supp'!T59</f>
        <v>4789.1000000000004</v>
      </c>
      <c r="H48" s="2165"/>
      <c r="I48" s="1883">
        <f>ROUND(SUM(G48)-SUM(C48),1)</f>
        <v>0.1</v>
      </c>
      <c r="J48" s="373"/>
      <c r="K48" s="277">
        <f>ROUND(SUM(G48)-SUM(E48),1)</f>
        <v>0.1</v>
      </c>
      <c r="L48" s="696"/>
    </row>
    <row r="49" spans="1:12" ht="16.5" thickBot="1">
      <c r="A49" s="380" t="str">
        <f>'Exh D-Governmental  '!A50</f>
        <v>Fund Balances (Deficits) at October 31</v>
      </c>
      <c r="B49" s="387" t="s">
        <v>16</v>
      </c>
      <c r="C49" s="303">
        <f>ROUND(SUM(C46:C48),1)</f>
        <v>5377</v>
      </c>
      <c r="D49" s="388"/>
      <c r="E49" s="303">
        <f>ROUND(SUM(E46:E48),1)</f>
        <v>10532</v>
      </c>
      <c r="F49" s="388"/>
      <c r="G49" s="303">
        <f>ROUND(SUM(G46:G48),1)</f>
        <v>10507</v>
      </c>
      <c r="H49" s="2248"/>
      <c r="I49" s="303">
        <f>ROUND(SUM(I46:I48),1)</f>
        <v>5130</v>
      </c>
      <c r="J49" s="389"/>
      <c r="K49" s="303">
        <f>ROUND(SUM(K46:K48),1)</f>
        <v>-25</v>
      </c>
      <c r="L49" s="696"/>
    </row>
    <row r="50" spans="1:12" ht="15.75" thickTop="1">
      <c r="A50" s="2164"/>
      <c r="B50" s="1173"/>
      <c r="C50" s="1173"/>
      <c r="D50" s="2168"/>
      <c r="E50" s="1173"/>
      <c r="F50" s="2168"/>
      <c r="G50" s="2168"/>
      <c r="H50" s="2168"/>
      <c r="I50" s="2168"/>
      <c r="J50" s="2168"/>
      <c r="K50" s="2168"/>
    </row>
    <row r="51" spans="1:12">
      <c r="A51" s="2169" t="s">
        <v>1374</v>
      </c>
    </row>
    <row r="52" spans="1:12">
      <c r="A52" s="2658" t="s">
        <v>1650</v>
      </c>
    </row>
    <row r="53" spans="1:12">
      <c r="A53" s="1149" t="s">
        <v>1550</v>
      </c>
    </row>
    <row r="54" spans="1:12">
      <c r="A54" s="1149" t="s">
        <v>1616</v>
      </c>
      <c r="G54" s="2618"/>
    </row>
    <row r="55" spans="1:12">
      <c r="A55" s="2652" t="s">
        <v>1589</v>
      </c>
    </row>
  </sheetData>
  <customSheetViews>
    <customSheetView guid="{BD09DBC2-63A5-4D9C-9B00-4281066E9389}" scale="79" showPageBreaks="1" showGridLines="0" printArea="1" topLeftCell="A9">
      <selection activeCell="G9" sqref="G9"/>
      <pageMargins left="0.7" right="0.7" top="1" bottom="1" header="0.3" footer="0.3"/>
      <printOptions horizontalCentered="1" verticalCentered="1"/>
      <pageSetup scale="56" firstPageNumber="8" orientation="landscape" useFirstPageNumber="1" r:id="rId1"/>
      <headerFooter>
        <oddFooter>&amp;C&amp;P</oddFooter>
      </headerFooter>
    </customSheetView>
    <customSheetView guid="{C82E0A7D-2B5B-48FC-A705-3168E651E04C}" scale="79" showPageBreaks="1" showGridLines="0" fitToPage="1" topLeftCell="A7">
      <selection activeCell="G20" sqref="G20"/>
      <pageMargins left="0.75" right="0.75" top="0.75" bottom="0.75" header="0.3" footer="0.25"/>
      <printOptions horizontalCentered="1" verticalCentered="1"/>
      <pageSetup scale="59" orientation="landscape" r:id="rId2"/>
      <headerFooter scaleWithDoc="0">
        <oddFooter>&amp;C&amp;8 8</oddFooter>
      </headerFooter>
    </customSheetView>
    <customSheetView guid="{A8B05C3B-0E7E-44A3-A097-AF4C5C09F04E}" scale="79" showPageBreaks="1" showGridLines="0" fitToPage="1" printArea="1">
      <selection activeCell="G20" sqref="G20"/>
      <pageMargins left="0.75" right="0.75" top="0.75" bottom="0.75" header="0.3" footer="0.25"/>
      <printOptions horizontalCentered="1" verticalCentered="1"/>
      <pageSetup scale="61" orientation="landscape" r:id="rId3"/>
      <headerFooter scaleWithDoc="0">
        <oddFooter>&amp;C&amp;8 8</oddFooter>
      </headerFooter>
    </customSheetView>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4"/>
      <headerFooter scaleWithDoc="0">
        <oddFooter>&amp;C&amp;8 8</oddFooter>
      </headerFooter>
    </customSheetView>
    <customSheetView guid="{4735AAE3-27B4-4549-AAB4-50ACA997F5F5}" scale="79" showPageBreaks="1" showGridLines="0" fitToPage="1" topLeftCell="A19">
      <selection activeCell="G40" sqref="G40"/>
      <pageMargins left="0.75" right="0.75" top="0.75" bottom="0.75" header="0.3" footer="0.25"/>
      <printOptions horizontalCentered="1" verticalCentered="1"/>
      <pageSetup scale="59" orientation="landscape" r:id="rId5"/>
      <headerFooter scaleWithDoc="0">
        <oddFooter>&amp;C&amp;8 8</oddFooter>
      </headerFooter>
    </customSheetView>
    <customSheetView guid="{80622567-647A-4891-B8EE-6B9E2C4DAC44}" scale="79" showPageBreaks="1" showGridLines="0" fitToPage="1" printArea="1">
      <selection activeCell="A7" sqref="A7"/>
      <pageMargins left="0.75" right="0.75" top="0.75" bottom="0.75" header="0.3" footer="0.25"/>
      <printOptions horizontalCentered="1" verticalCentered="1"/>
      <pageSetup scale="61" orientation="landscape" r:id="rId6"/>
      <headerFooter scaleWithDoc="0">
        <oddFooter>&amp;C&amp;8 8</oddFooter>
      </headerFooter>
    </customSheetView>
    <customSheetView guid="{A97EE6C3-4DA8-41BD-BE43-F596EFCB43CA}" scale="79" showPageBreaks="1" showGridLines="0" fitToPage="1" printArea="1" topLeftCell="A13">
      <selection activeCell="E20" sqref="E20"/>
      <pageMargins left="0.75" right="0.75" top="0.75" bottom="0.75" header="0.3" footer="0.25"/>
      <printOptions horizontalCentered="1" verticalCentered="1"/>
      <pageSetup scale="61" orientation="landscape" r:id="rId7"/>
      <headerFooter scaleWithDoc="0">
        <oddFooter>&amp;C&amp;8 8</oddFooter>
      </headerFooter>
    </customSheetView>
    <customSheetView guid="{90B76C5A-2FC4-40F0-8436-3E4F075A4887}" scale="70" showPageBreaks="1" showGridLines="0" fitToPage="1" printArea="1" topLeftCell="A10">
      <selection activeCell="A7" sqref="A7"/>
      <pageMargins left="0.75" right="0.75" top="0.75" bottom="0.75" header="0.3" footer="0.25"/>
      <printOptions horizontalCentered="1" verticalCentered="1"/>
      <pageSetup scale="60" orientation="landscape" r:id="rId8"/>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9"/>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AK60"/>
  <sheetViews>
    <sheetView showGridLines="0" zoomScale="80" zoomScaleNormal="70" zoomScaleSheetLayoutView="70" workbookViewId="0"/>
  </sheetViews>
  <sheetFormatPr defaultRowHeight="15"/>
  <cols>
    <col min="1" max="1" width="59" style="2164" customWidth="1"/>
    <col min="2" max="2" width="2" style="1173" customWidth="1"/>
    <col min="3" max="3" width="15.33203125" style="806" customWidth="1"/>
    <col min="4" max="4" width="4.77734375" style="2168" customWidth="1"/>
    <col min="5" max="5" width="15.33203125" style="806" customWidth="1"/>
    <col min="6" max="6" width="4.77734375" style="2168" customWidth="1"/>
    <col min="7" max="7" width="15.33203125" style="2168" customWidth="1"/>
    <col min="8" max="8" width="4.77734375" style="2168" customWidth="1"/>
    <col min="9" max="9" width="15.33203125" style="2168" customWidth="1"/>
    <col min="10" max="10" width="2.44140625" style="2168" customWidth="1"/>
    <col min="11" max="11" width="12.77734375" style="1173" customWidth="1"/>
    <col min="12" max="12" width="18.109375" style="806" bestFit="1" customWidth="1"/>
    <col min="13" max="13" width="2.6640625" style="2168" customWidth="1"/>
    <col min="14" max="14" width="14.33203125" style="2168" customWidth="1"/>
    <col min="15" max="15" width="2.6640625" style="2168" customWidth="1"/>
    <col min="16" max="16" width="15.6640625" style="2168" bestFit="1" customWidth="1"/>
    <col min="17" max="17" width="2" style="1173" customWidth="1"/>
    <col min="18" max="18" width="11.88671875" style="1173" customWidth="1"/>
    <col min="19" max="19" width="11.44140625" style="1173" customWidth="1"/>
    <col min="20" max="20" width="1.88671875" style="1173" customWidth="1"/>
    <col min="21" max="21" width="11.6640625" style="1173" customWidth="1"/>
    <col min="22" max="22" width="2.109375" style="1173" customWidth="1"/>
    <col min="23" max="23" width="11.44140625" style="1173" customWidth="1"/>
    <col min="24" max="24" width="0.5546875" style="1173" customWidth="1"/>
    <col min="25" max="25" width="2.33203125" style="1173" customWidth="1"/>
    <col min="26" max="26" width="10.5546875" style="1173" customWidth="1"/>
    <col min="27" max="27" width="11.109375" style="1173" customWidth="1"/>
    <col min="28" max="28" width="2.21875" style="1173" customWidth="1"/>
    <col min="29" max="29" width="11.109375" style="1173" customWidth="1"/>
    <col min="30" max="30" width="2.109375" style="1173" customWidth="1"/>
    <col min="31" max="31" width="12.44140625" style="1173" customWidth="1"/>
    <col min="32" max="36" width="8.88671875" style="1173"/>
    <col min="37" max="37" width="8.88671875" style="2168"/>
    <col min="38" max="16384" width="8.88671875" style="2164"/>
  </cols>
  <sheetData>
    <row r="1" spans="1:31">
      <c r="A1" s="2170" t="s">
        <v>1322</v>
      </c>
      <c r="B1" s="393"/>
      <c r="C1" s="800"/>
      <c r="D1" s="394"/>
      <c r="E1" s="800"/>
      <c r="F1" s="394"/>
      <c r="G1" s="394"/>
      <c r="H1" s="394"/>
      <c r="I1" s="394"/>
      <c r="J1" s="394"/>
      <c r="K1" s="393"/>
      <c r="L1" s="800"/>
      <c r="M1" s="394"/>
      <c r="N1" s="394"/>
      <c r="O1" s="394"/>
      <c r="P1" s="394"/>
      <c r="Q1" s="394"/>
      <c r="R1" s="393"/>
      <c r="S1" s="393"/>
      <c r="T1" s="393"/>
      <c r="U1" s="393"/>
      <c r="V1" s="393"/>
      <c r="W1" s="393"/>
      <c r="X1" s="393"/>
      <c r="Y1" s="393"/>
      <c r="Z1" s="393"/>
      <c r="AA1" s="393"/>
      <c r="AB1" s="393"/>
      <c r="AC1" s="393"/>
      <c r="AD1" s="393"/>
      <c r="AE1" s="393"/>
    </row>
    <row r="2" spans="1:31" ht="17.25" customHeight="1">
      <c r="A2" s="395"/>
      <c r="B2" s="396"/>
      <c r="C2" s="801"/>
      <c r="D2" s="394"/>
      <c r="E2" s="801"/>
      <c r="F2" s="394"/>
      <c r="G2" s="394"/>
      <c r="H2" s="394"/>
      <c r="I2" s="394"/>
      <c r="J2" s="394"/>
      <c r="K2" s="393"/>
      <c r="L2" s="800"/>
      <c r="M2" s="394"/>
      <c r="N2" s="397"/>
      <c r="O2" s="394"/>
      <c r="P2" s="394"/>
      <c r="Q2" s="394"/>
      <c r="R2" s="393"/>
      <c r="S2" s="393"/>
      <c r="T2" s="393"/>
      <c r="U2" s="393"/>
      <c r="V2" s="393"/>
      <c r="W2" s="393"/>
      <c r="X2" s="393"/>
      <c r="Y2" s="393"/>
      <c r="Z2" s="393"/>
      <c r="AA2" s="393"/>
      <c r="AB2" s="393"/>
      <c r="AC2" s="393"/>
      <c r="AD2" s="393"/>
      <c r="AE2" s="393"/>
    </row>
    <row r="3" spans="1:31" ht="21" customHeight="1">
      <c r="A3" s="398" t="s">
        <v>0</v>
      </c>
      <c r="B3" s="355"/>
      <c r="C3" s="802"/>
      <c r="D3" s="349"/>
      <c r="E3" s="802"/>
      <c r="F3" s="349"/>
      <c r="G3" s="349"/>
      <c r="H3" s="349"/>
      <c r="I3" s="1872"/>
      <c r="K3" s="1872" t="s">
        <v>87</v>
      </c>
      <c r="L3" s="803"/>
      <c r="M3" s="349"/>
      <c r="N3" s="349"/>
      <c r="O3" s="349"/>
      <c r="Q3" s="349"/>
      <c r="R3" s="363"/>
      <c r="S3" s="363"/>
      <c r="T3" s="363"/>
      <c r="U3" s="363"/>
      <c r="V3" s="363"/>
      <c r="W3" s="363"/>
      <c r="X3" s="363"/>
      <c r="Y3" s="363"/>
      <c r="Z3" s="363"/>
      <c r="AA3" s="363"/>
      <c r="AB3" s="363"/>
      <c r="AC3" s="363"/>
      <c r="AD3" s="363"/>
      <c r="AE3" s="399"/>
    </row>
    <row r="4" spans="1:31" ht="18">
      <c r="A4" s="398" t="s">
        <v>86</v>
      </c>
      <c r="B4" s="355"/>
      <c r="C4" s="802"/>
      <c r="D4" s="349"/>
      <c r="E4" s="802"/>
      <c r="F4" s="349"/>
      <c r="G4" s="349"/>
      <c r="H4" s="349"/>
      <c r="I4" s="1873"/>
      <c r="K4" s="1873" t="s">
        <v>108</v>
      </c>
      <c r="L4" s="803"/>
      <c r="M4" s="349"/>
      <c r="N4" s="349"/>
      <c r="O4" s="349"/>
      <c r="Q4" s="349"/>
      <c r="R4" s="363"/>
      <c r="S4" s="363"/>
      <c r="T4" s="363"/>
      <c r="U4" s="363"/>
      <c r="V4" s="363"/>
      <c r="W4" s="363"/>
      <c r="X4" s="363"/>
      <c r="Y4" s="363"/>
      <c r="Z4" s="363"/>
      <c r="AA4" s="363"/>
      <c r="AB4" s="363"/>
      <c r="AC4" s="363"/>
      <c r="AD4" s="363"/>
      <c r="AE4" s="363"/>
    </row>
    <row r="5" spans="1:31" ht="21.75" customHeight="1">
      <c r="A5" s="3352" t="s">
        <v>1176</v>
      </c>
      <c r="B5" s="3353"/>
      <c r="C5" s="3353"/>
      <c r="D5" s="3353"/>
      <c r="E5" s="3353"/>
      <c r="F5" s="349"/>
      <c r="G5" s="1857"/>
      <c r="H5" s="349"/>
      <c r="I5" s="349"/>
      <c r="J5" s="349"/>
      <c r="K5" s="363"/>
      <c r="L5" s="803"/>
      <c r="M5" s="349"/>
      <c r="N5" s="349"/>
      <c r="O5" s="349"/>
      <c r="Q5" s="349"/>
      <c r="R5" s="363"/>
      <c r="S5" s="363"/>
      <c r="T5" s="363"/>
      <c r="U5" s="363"/>
      <c r="V5" s="363"/>
      <c r="W5" s="363"/>
      <c r="X5" s="363"/>
      <c r="Y5" s="363"/>
      <c r="Z5" s="363"/>
      <c r="AA5" s="363"/>
      <c r="AB5" s="363"/>
      <c r="AC5" s="363"/>
      <c r="AD5" s="363"/>
      <c r="AE5" s="363"/>
    </row>
    <row r="6" spans="1:31" ht="17.25" customHeight="1">
      <c r="A6" s="1871" t="str">
        <f>'Exh D-Governmental  '!A6</f>
        <v>FOR SEVEN MONTHS ENDED OCTOBER 31, 2014</v>
      </c>
      <c r="B6" s="354"/>
      <c r="C6" s="802"/>
      <c r="D6" s="349"/>
      <c r="E6" s="802"/>
      <c r="F6" s="349"/>
      <c r="G6" s="349"/>
      <c r="H6" s="349"/>
      <c r="I6" s="349"/>
      <c r="J6" s="349"/>
      <c r="K6" s="363"/>
      <c r="L6" s="803"/>
      <c r="M6" s="349"/>
      <c r="N6" s="349"/>
      <c r="O6" s="349"/>
      <c r="P6" s="349"/>
      <c r="Q6" s="349"/>
      <c r="R6" s="363"/>
      <c r="S6" s="363"/>
      <c r="T6" s="363"/>
      <c r="U6" s="363"/>
      <c r="V6" s="363"/>
      <c r="W6" s="363"/>
      <c r="X6" s="363"/>
      <c r="Y6" s="363"/>
      <c r="Z6" s="363"/>
      <c r="AA6" s="363"/>
      <c r="AB6" s="363"/>
      <c r="AC6" s="363"/>
      <c r="AD6" s="363"/>
      <c r="AE6" s="363"/>
    </row>
    <row r="7" spans="1:31" ht="18">
      <c r="A7" s="398" t="s">
        <v>1199</v>
      </c>
      <c r="B7" s="355"/>
      <c r="C7" s="802"/>
      <c r="D7" s="349"/>
      <c r="E7" s="802"/>
      <c r="F7" s="349"/>
      <c r="G7" s="349"/>
      <c r="H7" s="349"/>
      <c r="I7" s="349"/>
      <c r="J7" s="349"/>
      <c r="K7" s="363"/>
      <c r="L7" s="803"/>
      <c r="M7" s="349"/>
      <c r="N7" s="349"/>
      <c r="O7" s="349"/>
      <c r="P7" s="349"/>
      <c r="Q7" s="349"/>
      <c r="R7" s="363"/>
      <c r="S7" s="363"/>
      <c r="T7" s="363"/>
      <c r="U7" s="363"/>
      <c r="V7" s="363"/>
      <c r="W7" s="363"/>
      <c r="X7" s="363"/>
      <c r="Y7" s="363"/>
      <c r="Z7" s="363"/>
      <c r="AA7" s="363"/>
      <c r="AB7" s="363"/>
      <c r="AC7" s="363"/>
      <c r="AD7" s="363"/>
      <c r="AE7" s="363"/>
    </row>
    <row r="8" spans="1:31" ht="15" customHeight="1">
      <c r="A8" s="400"/>
      <c r="B8" s="354"/>
      <c r="C8" s="802"/>
      <c r="D8" s="349"/>
      <c r="E8" s="802"/>
      <c r="F8" s="349"/>
      <c r="G8" s="349"/>
      <c r="H8" s="349"/>
      <c r="I8" s="349"/>
      <c r="J8" s="349"/>
      <c r="K8" s="363"/>
      <c r="L8" s="803"/>
      <c r="M8" s="349"/>
      <c r="N8" s="349"/>
      <c r="O8" s="349"/>
      <c r="P8" s="349"/>
      <c r="Q8" s="349"/>
      <c r="R8" s="363"/>
      <c r="S8" s="363"/>
      <c r="T8" s="363"/>
      <c r="U8" s="363"/>
      <c r="V8" s="363"/>
      <c r="W8" s="363"/>
      <c r="X8" s="363"/>
      <c r="Y8" s="363"/>
      <c r="Z8" s="363"/>
      <c r="AA8" s="363"/>
      <c r="AB8" s="363"/>
      <c r="AC8" s="363"/>
      <c r="AD8" s="363"/>
      <c r="AE8" s="363"/>
    </row>
    <row r="9" spans="1:31">
      <c r="A9" s="357"/>
      <c r="B9" s="363"/>
      <c r="C9" s="803"/>
      <c r="D9" s="349"/>
      <c r="E9" s="803"/>
      <c r="F9" s="349"/>
      <c r="G9" s="349"/>
      <c r="H9" s="349"/>
      <c r="I9" s="349"/>
      <c r="J9" s="349"/>
      <c r="K9" s="363"/>
      <c r="L9" s="803"/>
      <c r="M9" s="349"/>
      <c r="N9" s="349"/>
      <c r="O9" s="349"/>
      <c r="P9" s="349"/>
      <c r="Q9" s="349"/>
      <c r="R9" s="363"/>
      <c r="S9" s="363"/>
      <c r="T9" s="363"/>
      <c r="U9" s="363"/>
      <c r="V9" s="363"/>
      <c r="W9" s="363"/>
      <c r="X9" s="363"/>
      <c r="Y9" s="363"/>
      <c r="Z9" s="363"/>
      <c r="AA9" s="363"/>
      <c r="AB9" s="363"/>
      <c r="AC9" s="363"/>
      <c r="AD9" s="363"/>
      <c r="AE9" s="363"/>
    </row>
    <row r="10" spans="1:31">
      <c r="A10" s="357"/>
      <c r="B10" s="363"/>
      <c r="C10" s="803"/>
      <c r="D10" s="349"/>
      <c r="E10" s="803"/>
      <c r="F10" s="349"/>
      <c r="G10" s="349"/>
      <c r="H10" s="349"/>
      <c r="I10" s="349"/>
      <c r="J10" s="349"/>
      <c r="K10" s="363"/>
      <c r="L10" s="2237"/>
      <c r="M10" s="354"/>
      <c r="N10" s="354"/>
      <c r="O10" s="354"/>
      <c r="P10" s="354"/>
      <c r="Q10" s="349"/>
      <c r="R10" s="363"/>
      <c r="S10" s="363"/>
      <c r="T10" s="363"/>
      <c r="U10" s="363"/>
      <c r="V10" s="363"/>
      <c r="W10" s="363"/>
      <c r="X10" s="363"/>
      <c r="Y10" s="363"/>
      <c r="Z10" s="363"/>
      <c r="AA10" s="363"/>
      <c r="AB10" s="363"/>
      <c r="AC10" s="363"/>
      <c r="AD10" s="363"/>
      <c r="AE10" s="363"/>
    </row>
    <row r="11" spans="1:31" ht="15.75">
      <c r="A11" s="1407"/>
      <c r="C11" s="3355" t="s">
        <v>1555</v>
      </c>
      <c r="D11" s="3355"/>
      <c r="E11" s="3355"/>
      <c r="F11" s="3355"/>
      <c r="G11" s="3355"/>
      <c r="H11" s="3355"/>
      <c r="I11" s="3355"/>
      <c r="J11" s="2621"/>
      <c r="K11" s="2622"/>
      <c r="L11" s="807"/>
      <c r="M11" s="403"/>
      <c r="N11" s="403"/>
      <c r="O11" s="403"/>
      <c r="P11" s="403"/>
      <c r="Q11" s="358"/>
      <c r="R11" s="401"/>
      <c r="S11" s="401"/>
      <c r="T11" s="401"/>
      <c r="U11" s="401"/>
      <c r="V11" s="401"/>
      <c r="W11" s="401"/>
      <c r="X11" s="401"/>
      <c r="Y11" s="358"/>
      <c r="Z11" s="401"/>
      <c r="AA11" s="402"/>
      <c r="AB11" s="401"/>
      <c r="AC11" s="401"/>
      <c r="AD11" s="401"/>
      <c r="AE11" s="401"/>
    </row>
    <row r="12" spans="1:31" ht="15.75">
      <c r="A12" s="1407"/>
      <c r="C12" s="804"/>
      <c r="D12" s="403"/>
      <c r="E12" s="804"/>
      <c r="F12" s="403"/>
      <c r="G12" s="404"/>
      <c r="H12" s="403"/>
      <c r="I12" s="403" t="s">
        <v>88</v>
      </c>
      <c r="J12" s="401"/>
      <c r="K12" s="403" t="s">
        <v>88</v>
      </c>
      <c r="L12" s="807"/>
      <c r="M12" s="403"/>
      <c r="N12" s="404"/>
      <c r="O12" s="403"/>
      <c r="P12" s="403"/>
      <c r="Q12" s="358"/>
      <c r="R12" s="401"/>
      <c r="S12" s="401"/>
      <c r="T12" s="401"/>
      <c r="U12" s="401"/>
      <c r="V12" s="401"/>
      <c r="W12" s="401"/>
      <c r="X12" s="401"/>
      <c r="Y12" s="358"/>
      <c r="Z12" s="401"/>
      <c r="AA12" s="402"/>
      <c r="AB12" s="401"/>
      <c r="AC12" s="401"/>
      <c r="AD12" s="401"/>
      <c r="AE12" s="401"/>
    </row>
    <row r="13" spans="1:31" ht="15.75">
      <c r="A13" s="1407"/>
      <c r="B13" s="358"/>
      <c r="C13" s="805"/>
      <c r="D13" s="405"/>
      <c r="E13" s="805"/>
      <c r="F13" s="405"/>
      <c r="G13" s="405"/>
      <c r="H13" s="405"/>
      <c r="I13" s="406" t="s">
        <v>1206</v>
      </c>
      <c r="J13" s="408"/>
      <c r="K13" s="406" t="s">
        <v>1206</v>
      </c>
      <c r="L13" s="2238"/>
      <c r="M13" s="2239"/>
      <c r="N13" s="2239"/>
      <c r="O13" s="2239"/>
      <c r="P13" s="2240"/>
      <c r="Q13" s="358"/>
      <c r="R13" s="358"/>
      <c r="S13" s="358"/>
      <c r="T13" s="358"/>
      <c r="U13" s="358"/>
      <c r="V13" s="358"/>
      <c r="W13" s="407"/>
      <c r="X13" s="408"/>
      <c r="Y13" s="358"/>
      <c r="Z13" s="358"/>
      <c r="AA13" s="358"/>
      <c r="AB13" s="358"/>
      <c r="AC13" s="358"/>
      <c r="AD13" s="358"/>
      <c r="AE13" s="407"/>
    </row>
    <row r="14" spans="1:31" ht="15.75">
      <c r="A14" s="1407"/>
      <c r="B14" s="409"/>
      <c r="C14" s="361" t="s">
        <v>1490</v>
      </c>
      <c r="D14" s="2164"/>
      <c r="E14" s="360" t="s">
        <v>1491</v>
      </c>
      <c r="F14" s="359"/>
      <c r="G14" s="359"/>
      <c r="H14" s="359"/>
      <c r="I14" s="360" t="s">
        <v>89</v>
      </c>
      <c r="J14" s="408"/>
      <c r="K14" s="360" t="s">
        <v>89</v>
      </c>
      <c r="L14" s="2241"/>
      <c r="M14" s="358"/>
      <c r="N14" s="358"/>
      <c r="O14" s="358"/>
      <c r="P14" s="408"/>
      <c r="Q14" s="358"/>
      <c r="R14" s="407"/>
      <c r="S14" s="408"/>
      <c r="T14" s="358"/>
      <c r="U14" s="358"/>
      <c r="V14" s="358"/>
      <c r="W14" s="407"/>
      <c r="X14" s="408"/>
      <c r="Y14" s="358"/>
      <c r="Z14" s="407"/>
      <c r="AA14" s="408"/>
      <c r="AB14" s="358"/>
      <c r="AC14" s="358"/>
      <c r="AD14" s="358"/>
      <c r="AE14" s="407"/>
    </row>
    <row r="15" spans="1:31" ht="15.75">
      <c r="A15" s="1407"/>
      <c r="B15" s="409"/>
      <c r="C15" s="360" t="s">
        <v>1536</v>
      </c>
      <c r="D15" s="359"/>
      <c r="E15" s="360" t="s">
        <v>1536</v>
      </c>
      <c r="F15" s="359"/>
      <c r="G15" s="359"/>
      <c r="H15" s="359"/>
      <c r="I15" s="360" t="s">
        <v>1490</v>
      </c>
      <c r="J15" s="408"/>
      <c r="K15" s="360" t="s">
        <v>1491</v>
      </c>
      <c r="L15" s="2241"/>
      <c r="M15" s="358"/>
      <c r="N15" s="358"/>
      <c r="O15" s="358"/>
      <c r="P15" s="408"/>
      <c r="Q15" s="358"/>
      <c r="R15" s="407"/>
      <c r="S15" s="408"/>
      <c r="T15" s="358"/>
      <c r="U15" s="358"/>
      <c r="V15" s="358"/>
      <c r="W15" s="407"/>
      <c r="X15" s="408"/>
      <c r="Y15" s="358"/>
      <c r="Z15" s="407"/>
      <c r="AA15" s="408"/>
      <c r="AB15" s="358"/>
      <c r="AC15" s="358"/>
      <c r="AD15" s="358"/>
      <c r="AE15" s="407"/>
    </row>
    <row r="16" spans="1:31" ht="15.75">
      <c r="A16" s="1407"/>
      <c r="B16" s="408"/>
      <c r="C16" s="360" t="s">
        <v>1537</v>
      </c>
      <c r="D16" s="359"/>
      <c r="E16" s="360" t="s">
        <v>1540</v>
      </c>
      <c r="F16" s="359"/>
      <c r="G16" s="361" t="s">
        <v>88</v>
      </c>
      <c r="H16" s="359"/>
      <c r="I16" s="360" t="s">
        <v>90</v>
      </c>
      <c r="J16" s="408"/>
      <c r="K16" s="360" t="s">
        <v>90</v>
      </c>
      <c r="L16" s="407"/>
      <c r="M16" s="358"/>
      <c r="N16" s="407"/>
      <c r="O16" s="358"/>
      <c r="P16" s="408"/>
      <c r="Q16" s="358"/>
      <c r="R16" s="408"/>
      <c r="S16" s="408"/>
      <c r="T16" s="358"/>
      <c r="U16" s="407"/>
      <c r="V16" s="358"/>
      <c r="W16" s="407"/>
      <c r="X16" s="408"/>
      <c r="Y16" s="358"/>
      <c r="Z16" s="408"/>
      <c r="AA16" s="408"/>
      <c r="AB16" s="358"/>
      <c r="AC16" s="407"/>
      <c r="AD16" s="358"/>
      <c r="AE16" s="407"/>
    </row>
    <row r="17" spans="1:31">
      <c r="A17" s="362"/>
      <c r="B17" s="363"/>
      <c r="C17" s="364"/>
      <c r="D17" s="349"/>
      <c r="E17" s="364"/>
      <c r="F17" s="349"/>
      <c r="G17" s="364"/>
      <c r="H17" s="349"/>
      <c r="I17" s="364"/>
      <c r="J17" s="363"/>
      <c r="K17" s="364"/>
      <c r="L17" s="363"/>
      <c r="M17" s="363"/>
      <c r="N17" s="363"/>
      <c r="O17" s="363"/>
      <c r="P17" s="363"/>
      <c r="Q17" s="363"/>
      <c r="R17" s="363"/>
      <c r="S17" s="363"/>
      <c r="T17" s="363"/>
      <c r="U17" s="363"/>
      <c r="V17" s="363"/>
      <c r="W17" s="363"/>
      <c r="X17" s="363"/>
      <c r="Y17" s="363"/>
      <c r="Z17" s="363"/>
      <c r="AA17" s="363"/>
      <c r="AB17" s="363"/>
      <c r="AC17" s="363"/>
      <c r="AD17" s="363"/>
      <c r="AE17" s="363"/>
    </row>
    <row r="18" spans="1:31" ht="15.75">
      <c r="A18" s="225" t="s">
        <v>15</v>
      </c>
      <c r="B18" s="2156"/>
      <c r="C18" s="1294"/>
      <c r="D18" s="1294"/>
      <c r="E18" s="1294"/>
      <c r="F18" s="1294"/>
      <c r="G18" s="1294"/>
      <c r="H18" s="1294"/>
      <c r="I18" s="1294"/>
      <c r="J18" s="2156"/>
      <c r="K18" s="2156"/>
      <c r="L18" s="2156"/>
      <c r="M18" s="2156"/>
      <c r="N18" s="2156"/>
      <c r="O18" s="2156"/>
      <c r="P18" s="2156"/>
      <c r="Q18" s="2156"/>
      <c r="R18" s="2156"/>
      <c r="S18" s="2156"/>
      <c r="T18" s="2156"/>
      <c r="U18" s="2156"/>
      <c r="V18" s="2156"/>
      <c r="W18" s="2156"/>
      <c r="X18" s="2156"/>
      <c r="Y18" s="2156"/>
      <c r="Z18" s="2156"/>
      <c r="AA18" s="2156"/>
      <c r="AB18" s="2156"/>
      <c r="AC18" s="2156"/>
      <c r="AD18" s="2156"/>
      <c r="AE18" s="2156"/>
    </row>
    <row r="19" spans="1:31">
      <c r="A19" s="1863" t="s">
        <v>91</v>
      </c>
      <c r="B19" s="2157"/>
      <c r="C19" s="1294"/>
      <c r="D19" s="2157"/>
      <c r="E19" s="1294"/>
      <c r="F19" s="2157"/>
      <c r="G19" s="1294"/>
      <c r="H19" s="2157"/>
      <c r="I19" s="1294"/>
      <c r="J19" s="2156"/>
      <c r="K19" s="2156"/>
      <c r="L19" s="2156"/>
      <c r="M19" s="2156"/>
      <c r="N19" s="2156"/>
      <c r="O19" s="2178"/>
      <c r="P19" s="2156"/>
      <c r="Q19" s="2156"/>
      <c r="R19" s="2156"/>
      <c r="S19" s="2156"/>
      <c r="T19" s="2156"/>
      <c r="U19" s="2156"/>
      <c r="V19" s="2156"/>
      <c r="W19" s="2156"/>
      <c r="X19" s="2156"/>
      <c r="Y19" s="2156"/>
      <c r="Z19" s="2156"/>
      <c r="AA19" s="2156"/>
      <c r="AB19" s="2156"/>
      <c r="AC19" s="2156"/>
      <c r="AD19" s="2156"/>
      <c r="AE19" s="2156"/>
    </row>
    <row r="20" spans="1:31">
      <c r="A20" s="1863" t="s">
        <v>92</v>
      </c>
      <c r="B20" s="2157" t="s">
        <v>16</v>
      </c>
      <c r="C20" s="1295">
        <v>16237</v>
      </c>
      <c r="D20" s="1297"/>
      <c r="E20" s="1295">
        <v>16891</v>
      </c>
      <c r="F20" s="1297"/>
      <c r="G20" s="1295">
        <f>+'Exh F'!AC28</f>
        <v>16898.3</v>
      </c>
      <c r="H20" s="1297"/>
      <c r="I20" s="1295">
        <f t="shared" ref="I20:I25" si="0">ROUND(SUM(G20)-SUM(C20),1)</f>
        <v>661.3</v>
      </c>
      <c r="J20" s="2156"/>
      <c r="K20" s="2244">
        <f t="shared" ref="K20:K25" si="1">ROUND(SUM(G20)-SUM(E20),1)</f>
        <v>7.3</v>
      </c>
      <c r="L20" s="2242"/>
      <c r="M20" s="2242"/>
      <c r="N20" s="2243"/>
      <c r="O20" s="2242"/>
      <c r="P20" s="2244"/>
      <c r="Q20" s="2156"/>
      <c r="R20" s="2156"/>
      <c r="S20" s="2156"/>
      <c r="T20" s="2156"/>
      <c r="U20" s="2156"/>
      <c r="V20" s="2156"/>
      <c r="W20" s="2156"/>
      <c r="X20" s="2156"/>
      <c r="Y20" s="2156"/>
      <c r="Z20" s="2156"/>
      <c r="AA20" s="2156"/>
      <c r="AB20" s="2156"/>
      <c r="AC20" s="2156"/>
      <c r="AD20" s="2156"/>
      <c r="AE20" s="2156"/>
    </row>
    <row r="21" spans="1:31">
      <c r="A21" s="1863" t="s">
        <v>93</v>
      </c>
      <c r="B21" s="2156" t="s">
        <v>16</v>
      </c>
      <c r="C21" s="2175">
        <v>3795</v>
      </c>
      <c r="D21" s="1214"/>
      <c r="E21" s="2175">
        <v>3911</v>
      </c>
      <c r="F21" s="1214"/>
      <c r="G21" s="1214">
        <f>+'Exh F'!AC37</f>
        <v>3907</v>
      </c>
      <c r="H21" s="1214"/>
      <c r="I21" s="1214">
        <f t="shared" si="0"/>
        <v>112</v>
      </c>
      <c r="J21" s="2156"/>
      <c r="K21" s="2176">
        <f t="shared" si="1"/>
        <v>-4</v>
      </c>
      <c r="L21" s="2245"/>
      <c r="M21" s="2176"/>
      <c r="N21" s="2176"/>
      <c r="O21" s="2176"/>
      <c r="P21" s="2176"/>
      <c r="Q21" s="2176"/>
      <c r="R21" s="2176"/>
      <c r="S21" s="2156"/>
      <c r="T21" s="2156"/>
      <c r="U21" s="2156"/>
      <c r="V21" s="2156"/>
      <c r="W21" s="2156"/>
      <c r="X21" s="2156"/>
      <c r="Y21" s="2156"/>
      <c r="Z21" s="2156"/>
      <c r="AA21" s="2156"/>
      <c r="AB21" s="2156"/>
      <c r="AC21" s="2156"/>
      <c r="AD21" s="2156"/>
      <c r="AE21" s="2156"/>
    </row>
    <row r="22" spans="1:31">
      <c r="A22" s="1863" t="s">
        <v>94</v>
      </c>
      <c r="B22" s="2157" t="s">
        <v>16</v>
      </c>
      <c r="C22" s="2175">
        <v>2251</v>
      </c>
      <c r="D22" s="1372"/>
      <c r="E22" s="2175">
        <v>2816</v>
      </c>
      <c r="F22" s="1372"/>
      <c r="G22" s="2165">
        <f>+'Exh F'!AC44</f>
        <v>2811</v>
      </c>
      <c r="H22" s="1372"/>
      <c r="I22" s="1214">
        <f t="shared" si="0"/>
        <v>560</v>
      </c>
      <c r="J22" s="2156"/>
      <c r="K22" s="2176">
        <f t="shared" si="1"/>
        <v>-5</v>
      </c>
      <c r="L22" s="2245"/>
      <c r="M22" s="2177"/>
      <c r="N22" s="2176"/>
      <c r="O22" s="2177"/>
      <c r="P22" s="2176"/>
      <c r="Q22" s="2177"/>
      <c r="R22" s="2176"/>
      <c r="S22" s="2156"/>
      <c r="T22" s="2178"/>
      <c r="U22" s="2156"/>
      <c r="V22" s="2178"/>
      <c r="W22" s="2156"/>
      <c r="X22" s="2156"/>
      <c r="Y22" s="2178"/>
      <c r="Z22" s="2156"/>
      <c r="AA22" s="2156"/>
      <c r="AB22" s="2178"/>
      <c r="AC22" s="410"/>
      <c r="AD22" s="2178"/>
      <c r="AE22" s="2156"/>
    </row>
    <row r="23" spans="1:31">
      <c r="A23" s="1863" t="s">
        <v>95</v>
      </c>
      <c r="B23" s="2156" t="s">
        <v>16</v>
      </c>
      <c r="C23" s="2175">
        <v>694</v>
      </c>
      <c r="D23" s="1214"/>
      <c r="E23" s="2175">
        <v>685</v>
      </c>
      <c r="F23" s="1214"/>
      <c r="G23" s="1214">
        <f>+'Exh F'!AC52</f>
        <v>678.9</v>
      </c>
      <c r="H23" s="1214"/>
      <c r="I23" s="1214">
        <f t="shared" si="0"/>
        <v>-15.1</v>
      </c>
      <c r="J23" s="2156"/>
      <c r="K23" s="2176">
        <f t="shared" si="1"/>
        <v>-6.1</v>
      </c>
      <c r="L23" s="2246"/>
      <c r="M23" s="2176"/>
      <c r="N23" s="2176"/>
      <c r="O23" s="2176"/>
      <c r="P23" s="2176"/>
      <c r="Q23" s="2176"/>
      <c r="R23" s="2176"/>
      <c r="S23" s="2156"/>
      <c r="T23" s="2156"/>
      <c r="U23" s="2156"/>
      <c r="V23" s="2156"/>
      <c r="W23" s="2156"/>
      <c r="X23" s="2156"/>
      <c r="Y23" s="2156"/>
      <c r="Z23" s="2156"/>
      <c r="AA23" s="2156"/>
      <c r="AB23" s="2156"/>
      <c r="AC23" s="2156"/>
      <c r="AD23" s="2156"/>
      <c r="AE23" s="2156"/>
    </row>
    <row r="24" spans="1:31" ht="15" customHeight="1">
      <c r="A24" s="1863" t="s">
        <v>21</v>
      </c>
      <c r="B24" s="2156" t="s">
        <v>16</v>
      </c>
      <c r="C24" s="2175">
        <v>2097</v>
      </c>
      <c r="D24" s="2175"/>
      <c r="E24" s="2175">
        <v>5871</v>
      </c>
      <c r="F24" s="2175"/>
      <c r="G24" s="1403">
        <f>+'Exh F'!AC88</f>
        <v>5841.1</v>
      </c>
      <c r="H24" s="1214"/>
      <c r="I24" s="1214">
        <f t="shared" si="0"/>
        <v>3744.1</v>
      </c>
      <c r="J24" s="2156"/>
      <c r="K24" s="2176">
        <f t="shared" si="1"/>
        <v>-29.9</v>
      </c>
      <c r="L24" s="2246"/>
      <c r="M24" s="2176"/>
      <c r="N24" s="2176"/>
      <c r="O24" s="2176"/>
      <c r="P24" s="2176"/>
      <c r="Q24" s="2176"/>
      <c r="R24" s="2176"/>
      <c r="S24" s="2156"/>
      <c r="T24" s="2156"/>
      <c r="U24" s="2156"/>
      <c r="V24" s="2156"/>
      <c r="W24" s="2156"/>
      <c r="X24" s="2156"/>
      <c r="Y24" s="2156"/>
      <c r="Z24" s="2156"/>
      <c r="AA24" s="2156"/>
      <c r="AB24" s="2156"/>
      <c r="AC24" s="2156"/>
      <c r="AD24" s="2156"/>
      <c r="AE24" s="2156"/>
    </row>
    <row r="25" spans="1:31" ht="15" customHeight="1">
      <c r="A25" s="1863" t="s">
        <v>22</v>
      </c>
      <c r="B25" s="2156" t="s">
        <v>16</v>
      </c>
      <c r="C25" s="1296">
        <v>0</v>
      </c>
      <c r="D25" s="1214"/>
      <c r="E25" s="1296">
        <v>1</v>
      </c>
      <c r="F25" s="1214"/>
      <c r="G25" s="1403">
        <f>+'Exh F'!AC90</f>
        <v>0.7</v>
      </c>
      <c r="H25" s="1214"/>
      <c r="I25" s="1214">
        <f t="shared" si="0"/>
        <v>0.7</v>
      </c>
      <c r="J25" s="2156"/>
      <c r="K25" s="2176">
        <f t="shared" si="1"/>
        <v>-0.3</v>
      </c>
      <c r="L25" s="2245"/>
      <c r="M25" s="2176"/>
      <c r="N25" s="2176"/>
      <c r="O25" s="2176"/>
      <c r="P25" s="2176"/>
      <c r="Q25" s="2176"/>
      <c r="R25" s="2180"/>
      <c r="S25" s="2181"/>
      <c r="T25" s="2156"/>
      <c r="U25" s="2181"/>
      <c r="V25" s="2156"/>
      <c r="W25" s="2181"/>
      <c r="X25" s="2182"/>
      <c r="Y25" s="2156"/>
      <c r="Z25" s="2156"/>
      <c r="AA25" s="2156"/>
      <c r="AB25" s="2156"/>
      <c r="AC25" s="2156"/>
      <c r="AD25" s="2156"/>
      <c r="AE25" s="2156"/>
    </row>
    <row r="26" spans="1:31" ht="18" customHeight="1">
      <c r="A26" s="1863" t="s">
        <v>110</v>
      </c>
      <c r="B26" s="2182"/>
      <c r="C26" s="1296"/>
      <c r="D26" s="1214"/>
      <c r="E26" s="1296"/>
      <c r="F26" s="1214"/>
      <c r="G26" s="1402"/>
      <c r="H26" s="1214"/>
      <c r="I26" s="1214"/>
      <c r="J26" s="2182"/>
      <c r="K26" s="2176"/>
      <c r="L26" s="2180"/>
      <c r="M26" s="2176"/>
      <c r="N26" s="2180"/>
      <c r="O26" s="2176"/>
      <c r="P26" s="2180"/>
      <c r="Q26" s="2176"/>
      <c r="R26" s="2180"/>
      <c r="S26" s="2181"/>
      <c r="T26" s="2156"/>
      <c r="U26" s="2181"/>
      <c r="V26" s="2156"/>
      <c r="W26" s="2181"/>
      <c r="X26" s="2182"/>
      <c r="Y26" s="2156"/>
      <c r="Z26" s="2156"/>
      <c r="AA26" s="2156"/>
      <c r="AB26" s="2156"/>
      <c r="AC26" s="2156"/>
      <c r="AD26" s="2156"/>
      <c r="AE26" s="2156"/>
    </row>
    <row r="27" spans="1:31">
      <c r="A27" s="1863" t="s">
        <v>111</v>
      </c>
      <c r="B27" s="2182" t="s">
        <v>16</v>
      </c>
      <c r="C27" s="1214">
        <v>4891</v>
      </c>
      <c r="D27" s="1214"/>
      <c r="E27" s="1214">
        <v>5060</v>
      </c>
      <c r="F27" s="1214"/>
      <c r="G27" s="1400">
        <f>'Exh F'!AC119</f>
        <v>5062.7</v>
      </c>
      <c r="H27" s="1214"/>
      <c r="I27" s="1214">
        <f>ROUND(SUM(G27)-SUM(C27),1)</f>
        <v>171.7</v>
      </c>
      <c r="J27" s="2182"/>
      <c r="K27" s="2176">
        <f>ROUND(SUM(G27)-SUM(E27),1)</f>
        <v>2.7</v>
      </c>
      <c r="L27" s="2180"/>
      <c r="M27" s="2176"/>
      <c r="N27" s="2180"/>
      <c r="O27" s="2176"/>
      <c r="P27" s="2176"/>
      <c r="Q27" s="2176"/>
      <c r="R27" s="2180"/>
      <c r="S27" s="2181"/>
      <c r="T27" s="2156"/>
      <c r="U27" s="2181"/>
      <c r="V27" s="2156"/>
      <c r="W27" s="2181"/>
      <c r="X27" s="2182"/>
      <c r="Y27" s="2156"/>
      <c r="Z27" s="2156"/>
      <c r="AA27" s="2156"/>
      <c r="AB27" s="2156"/>
      <c r="AC27" s="2156"/>
      <c r="AD27" s="2156"/>
      <c r="AE27" s="2156"/>
    </row>
    <row r="28" spans="1:31">
      <c r="A28" s="1863" t="s">
        <v>1488</v>
      </c>
      <c r="B28" s="2182" t="s">
        <v>16</v>
      </c>
      <c r="C28" s="1214">
        <v>3333</v>
      </c>
      <c r="D28" s="1214"/>
      <c r="E28" s="1214">
        <v>3391</v>
      </c>
      <c r="F28" s="1214"/>
      <c r="G28" s="1401">
        <f>'Exh F'!AC120</f>
        <v>3393.9</v>
      </c>
      <c r="H28" s="1214"/>
      <c r="I28" s="1214">
        <f>ROUND(SUM(G28)-SUM(C28),1)</f>
        <v>60.9</v>
      </c>
      <c r="J28" s="2182"/>
      <c r="K28" s="2176">
        <f>ROUND(SUM(G28)-SUM(E28),1)</f>
        <v>2.9</v>
      </c>
      <c r="L28" s="2180"/>
      <c r="M28" s="2176"/>
      <c r="N28" s="2180"/>
      <c r="O28" s="2176"/>
      <c r="P28" s="2176"/>
      <c r="Q28" s="2176"/>
      <c r="R28" s="2180"/>
      <c r="S28" s="2181"/>
      <c r="T28" s="2156"/>
      <c r="U28" s="2181"/>
      <c r="V28" s="2156"/>
      <c r="W28" s="2181"/>
      <c r="X28" s="2182"/>
      <c r="Y28" s="2156"/>
      <c r="Z28" s="2156"/>
      <c r="AA28" s="2156"/>
      <c r="AB28" s="2156"/>
      <c r="AC28" s="2156"/>
      <c r="AD28" s="2156"/>
      <c r="AE28" s="2156"/>
    </row>
    <row r="29" spans="1:31">
      <c r="A29" s="1863" t="s">
        <v>112</v>
      </c>
      <c r="B29" s="2182" t="s">
        <v>16</v>
      </c>
      <c r="C29" s="1214">
        <v>485</v>
      </c>
      <c r="D29" s="1214"/>
      <c r="E29" s="1214">
        <v>489</v>
      </c>
      <c r="F29" s="1214"/>
      <c r="G29" s="1400">
        <f>'Exh F'!AC121</f>
        <v>489.4</v>
      </c>
      <c r="H29" s="1214"/>
      <c r="I29" s="1214">
        <f>ROUND(SUM(G29)-SUM(C29),1)</f>
        <v>4.4000000000000004</v>
      </c>
      <c r="J29" s="2182"/>
      <c r="K29" s="2176">
        <f>ROUND(SUM(G29)-SUM(E29),1)</f>
        <v>0.4</v>
      </c>
      <c r="L29" s="2180"/>
      <c r="M29" s="2176"/>
      <c r="N29" s="2180"/>
      <c r="O29" s="2176"/>
      <c r="P29" s="2176"/>
      <c r="Q29" s="2176"/>
      <c r="R29" s="2180"/>
      <c r="S29" s="2181"/>
      <c r="T29" s="2156"/>
      <c r="U29" s="2181"/>
      <c r="V29" s="2156"/>
      <c r="W29" s="2181"/>
      <c r="X29" s="2182"/>
      <c r="Y29" s="2156"/>
      <c r="Z29" s="2156"/>
      <c r="AA29" s="2156"/>
      <c r="AB29" s="2156"/>
      <c r="AC29" s="2156"/>
      <c r="AD29" s="2156"/>
      <c r="AE29" s="2156"/>
    </row>
    <row r="30" spans="1:31">
      <c r="A30" s="1863" t="s">
        <v>113</v>
      </c>
      <c r="B30" s="2182" t="s">
        <v>16</v>
      </c>
      <c r="C30" s="2162">
        <v>424</v>
      </c>
      <c r="D30" s="1214"/>
      <c r="E30" s="2162">
        <v>342</v>
      </c>
      <c r="F30" s="1214"/>
      <c r="G30" s="2322">
        <f>'Exh F'!AC122</f>
        <v>342.3</v>
      </c>
      <c r="H30" s="1214"/>
      <c r="I30" s="1214">
        <f>ROUND(SUM(G30)-SUM(C30),1)</f>
        <v>-81.7</v>
      </c>
      <c r="J30" s="2182"/>
      <c r="K30" s="2176">
        <f>ROUND(SUM(G30)-SUM(E30),1)</f>
        <v>0.3</v>
      </c>
      <c r="L30" s="2247"/>
      <c r="M30" s="2176"/>
      <c r="N30" s="2177"/>
      <c r="O30" s="2176"/>
      <c r="P30" s="2176"/>
      <c r="Q30" s="2176"/>
      <c r="R30" s="2180"/>
      <c r="S30" s="2181"/>
      <c r="T30" s="2156"/>
      <c r="U30" s="2181"/>
      <c r="V30" s="2156"/>
      <c r="W30" s="2181"/>
      <c r="X30" s="2182"/>
      <c r="Y30" s="2156"/>
      <c r="Z30" s="2156"/>
      <c r="AA30" s="2156"/>
      <c r="AB30" s="2156"/>
      <c r="AC30" s="2156"/>
      <c r="AD30" s="2156"/>
      <c r="AE30" s="2156"/>
    </row>
    <row r="31" spans="1:31" ht="18" customHeight="1">
      <c r="A31" s="380" t="s">
        <v>114</v>
      </c>
      <c r="B31" s="358" t="s">
        <v>16</v>
      </c>
      <c r="C31" s="425">
        <f>ROUND(SUM(C20:C30),1)</f>
        <v>34207</v>
      </c>
      <c r="D31" s="2154"/>
      <c r="E31" s="425">
        <f>ROUND(SUM(E20:E30),1)</f>
        <v>39457</v>
      </c>
      <c r="F31" s="2154"/>
      <c r="G31" s="425">
        <f>ROUND(SUM(G20:G30),1)</f>
        <v>39425.300000000003</v>
      </c>
      <c r="H31" s="2154"/>
      <c r="I31" s="550">
        <f>ROUND(SUM(I20:I30),1)</f>
        <v>5218.3</v>
      </c>
      <c r="J31" s="358"/>
      <c r="K31" s="550">
        <f>ROUND(SUM(K20:K30),1)</f>
        <v>-31.7</v>
      </c>
      <c r="L31" s="277"/>
      <c r="M31" s="277"/>
      <c r="N31" s="277"/>
      <c r="O31" s="277"/>
      <c r="P31" s="277"/>
      <c r="Q31" s="277"/>
      <c r="R31" s="277"/>
      <c r="S31" s="358"/>
      <c r="T31" s="358"/>
      <c r="U31" s="358"/>
      <c r="V31" s="358"/>
      <c r="W31" s="358"/>
      <c r="X31" s="358"/>
      <c r="Y31" s="358"/>
      <c r="Z31" s="358"/>
      <c r="AA31" s="358"/>
      <c r="AB31" s="358"/>
      <c r="AC31" s="358"/>
      <c r="AD31" s="358"/>
      <c r="AE31" s="358"/>
    </row>
    <row r="32" spans="1:31">
      <c r="A32" s="1407"/>
      <c r="B32" s="2156"/>
      <c r="C32" s="1405"/>
      <c r="D32" s="1214"/>
      <c r="E32" s="1405"/>
      <c r="F32" s="1214"/>
      <c r="G32" s="1405"/>
      <c r="H32" s="1214"/>
      <c r="I32" s="2176"/>
      <c r="J32" s="2156"/>
      <c r="K32" s="2176"/>
      <c r="L32" s="2176"/>
      <c r="M32" s="2176"/>
      <c r="N32" s="2176"/>
      <c r="O32" s="2176"/>
      <c r="P32" s="2176"/>
      <c r="Q32" s="2176"/>
      <c r="R32" s="2176"/>
      <c r="S32" s="2156"/>
      <c r="T32" s="2156"/>
      <c r="U32" s="2156"/>
      <c r="V32" s="2156"/>
      <c r="W32" s="2156"/>
      <c r="X32" s="2156"/>
      <c r="Y32" s="2156"/>
      <c r="Z32" s="2156"/>
      <c r="AA32" s="2156"/>
      <c r="AB32" s="2156"/>
      <c r="AC32" s="2156"/>
      <c r="AD32" s="2156"/>
      <c r="AE32" s="2156"/>
    </row>
    <row r="33" spans="1:31" ht="15.75">
      <c r="A33" s="225" t="s">
        <v>24</v>
      </c>
      <c r="B33" s="2156"/>
      <c r="C33" s="1214"/>
      <c r="D33" s="1214"/>
      <c r="E33" s="1214"/>
      <c r="F33" s="1214"/>
      <c r="G33" s="1214"/>
      <c r="H33" s="1214"/>
      <c r="I33" s="1214"/>
      <c r="J33" s="2156"/>
      <c r="K33" s="2176"/>
      <c r="L33" s="2176"/>
      <c r="M33" s="2176"/>
      <c r="N33" s="2176"/>
      <c r="O33" s="2176"/>
      <c r="P33" s="2176"/>
      <c r="Q33" s="2176"/>
      <c r="R33" s="2176"/>
      <c r="S33" s="2156"/>
      <c r="T33" s="2156"/>
      <c r="U33" s="2156"/>
      <c r="V33" s="2156"/>
      <c r="W33" s="2156"/>
      <c r="X33" s="2156"/>
      <c r="Y33" s="2156"/>
      <c r="Z33" s="2156"/>
      <c r="AA33" s="2156"/>
      <c r="AB33" s="2156"/>
      <c r="AC33" s="2156"/>
      <c r="AD33" s="2156"/>
      <c r="AE33" s="2156"/>
    </row>
    <row r="34" spans="1:31">
      <c r="A34" s="1863" t="s">
        <v>97</v>
      </c>
      <c r="B34" s="2178" t="s">
        <v>16</v>
      </c>
      <c r="C34" s="1372">
        <v>21469</v>
      </c>
      <c r="D34" s="1214"/>
      <c r="E34" s="1372">
        <v>21061</v>
      </c>
      <c r="F34" s="1214"/>
      <c r="G34" s="1372">
        <f>+'Exh F'!AC106</f>
        <v>21061.800000000003</v>
      </c>
      <c r="H34" s="1214"/>
      <c r="I34" s="1214">
        <f>ROUND(SUM(G34)-SUM(C34),1)</f>
        <v>-407.2</v>
      </c>
      <c r="J34" s="2156"/>
      <c r="K34" s="2176">
        <f>ROUND(SUM(G34)-SUM(E34),1)</f>
        <v>0.8</v>
      </c>
      <c r="L34" s="2177"/>
      <c r="M34" s="2176"/>
      <c r="N34" s="2177"/>
      <c r="O34" s="2176"/>
      <c r="P34" s="2176"/>
      <c r="Q34" s="2176"/>
      <c r="R34" s="2180"/>
      <c r="S34" s="2181"/>
      <c r="T34" s="2156"/>
      <c r="U34" s="2181"/>
      <c r="V34" s="2156"/>
      <c r="W34" s="2181"/>
      <c r="X34" s="2182"/>
      <c r="Y34" s="2156"/>
      <c r="Z34" s="2156"/>
      <c r="AA34" s="2156"/>
      <c r="AB34" s="2156"/>
      <c r="AC34" s="2156"/>
      <c r="AD34" s="2156"/>
      <c r="AE34" s="2156"/>
    </row>
    <row r="35" spans="1:31">
      <c r="A35" s="1863" t="s">
        <v>98</v>
      </c>
      <c r="B35" s="2178" t="s">
        <v>16</v>
      </c>
      <c r="C35" s="1372">
        <v>4411</v>
      </c>
      <c r="D35" s="1214"/>
      <c r="E35" s="1372">
        <v>4428</v>
      </c>
      <c r="F35" s="1214"/>
      <c r="G35" s="1372">
        <f>+'Exh F'!AC108+'Exh F'!AC109</f>
        <v>4429.8999999999996</v>
      </c>
      <c r="H35" s="1214"/>
      <c r="I35" s="1214">
        <f>ROUND(SUM(G35)-SUM(C35),1)</f>
        <v>18.899999999999999</v>
      </c>
      <c r="J35" s="2156"/>
      <c r="K35" s="2176">
        <f>ROUND(SUM(G35)-SUM(E35),1)</f>
        <v>1.9</v>
      </c>
      <c r="L35" s="2177"/>
      <c r="M35" s="2176"/>
      <c r="N35" s="2177"/>
      <c r="O35" s="2176"/>
      <c r="P35" s="2176"/>
      <c r="Q35" s="2176"/>
      <c r="R35" s="2177"/>
      <c r="S35" s="2178"/>
      <c r="T35" s="2156"/>
      <c r="U35" s="2178"/>
      <c r="V35" s="2156"/>
      <c r="W35" s="2181"/>
      <c r="X35" s="2156"/>
      <c r="Y35" s="2156"/>
      <c r="Z35" s="2181"/>
      <c r="AA35" s="2181"/>
      <c r="AB35" s="2156"/>
      <c r="AC35" s="2181"/>
      <c r="AD35" s="2156"/>
      <c r="AE35" s="2181"/>
    </row>
    <row r="36" spans="1:31">
      <c r="A36" s="1863" t="s">
        <v>73</v>
      </c>
      <c r="B36" s="2178" t="s">
        <v>16</v>
      </c>
      <c r="C36" s="1372">
        <v>3641</v>
      </c>
      <c r="D36" s="1214"/>
      <c r="E36" s="1372">
        <v>3903</v>
      </c>
      <c r="F36" s="1214"/>
      <c r="G36" s="1372">
        <f>+'Exh F'!AC110</f>
        <v>3895.8</v>
      </c>
      <c r="H36" s="1214"/>
      <c r="I36" s="1214">
        <f>ROUND(SUM(G36)-SUM(C36),1)</f>
        <v>254.8</v>
      </c>
      <c r="J36" s="2156"/>
      <c r="K36" s="2176">
        <f>ROUND(SUM(G36)-SUM(E36),1)</f>
        <v>-7.2</v>
      </c>
      <c r="L36" s="2177"/>
      <c r="M36" s="2176"/>
      <c r="N36" s="2177"/>
      <c r="O36" s="2176"/>
      <c r="P36" s="2176"/>
      <c r="Q36" s="2176"/>
      <c r="R36" s="2180"/>
      <c r="S36" s="2181"/>
      <c r="T36" s="2156"/>
      <c r="U36" s="2181"/>
      <c r="V36" s="2156"/>
      <c r="W36" s="2181"/>
      <c r="X36" s="2182"/>
      <c r="Y36" s="2156"/>
      <c r="Z36" s="2181"/>
      <c r="AA36" s="2181"/>
      <c r="AB36" s="2156"/>
      <c r="AC36" s="2181"/>
      <c r="AD36" s="2156"/>
      <c r="AE36" s="2181"/>
    </row>
    <row r="37" spans="1:31" ht="18" customHeight="1">
      <c r="A37" s="1863" t="s">
        <v>115</v>
      </c>
      <c r="B37" s="2182"/>
      <c r="C37" s="1296"/>
      <c r="D37" s="1214"/>
      <c r="E37" s="1296"/>
      <c r="F37" s="1214"/>
      <c r="G37" s="1296"/>
      <c r="H37" s="1214"/>
      <c r="I37" s="1214"/>
      <c r="J37" s="2182"/>
      <c r="K37" s="2176"/>
      <c r="L37" s="2247"/>
      <c r="M37" s="2176"/>
      <c r="N37" s="2247"/>
      <c r="O37" s="2176"/>
      <c r="P37" s="2176"/>
      <c r="Q37" s="2176"/>
      <c r="R37" s="2180"/>
      <c r="S37" s="2181"/>
      <c r="T37" s="2156"/>
      <c r="U37" s="2181"/>
      <c r="V37" s="2156"/>
      <c r="W37" s="2181"/>
      <c r="X37" s="2182"/>
      <c r="Y37" s="2156"/>
      <c r="Z37" s="2156"/>
      <c r="AA37" s="2156"/>
      <c r="AB37" s="2156"/>
      <c r="AC37" s="2156"/>
      <c r="AD37" s="2156"/>
      <c r="AE37" s="2156"/>
    </row>
    <row r="38" spans="1:31">
      <c r="A38" s="1863" t="s">
        <v>116</v>
      </c>
      <c r="B38" s="2182" t="s">
        <v>16</v>
      </c>
      <c r="C38" s="1403">
        <v>509</v>
      </c>
      <c r="D38" s="1214"/>
      <c r="E38" s="1403">
        <v>512</v>
      </c>
      <c r="F38" s="1214"/>
      <c r="G38" s="1403">
        <f>-'Exh F'!AC125</f>
        <v>569.1</v>
      </c>
      <c r="H38" s="1214"/>
      <c r="I38" s="1214">
        <f>ROUND(SUM(G38)-SUM(C38),1)</f>
        <v>60.1</v>
      </c>
      <c r="J38" s="2182"/>
      <c r="K38" s="2176">
        <f>ROUND(SUM(G38)-SUM(E38),1)</f>
        <v>57.1</v>
      </c>
      <c r="L38" s="2180"/>
      <c r="M38" s="2176"/>
      <c r="N38" s="2180"/>
      <c r="O38" s="2176"/>
      <c r="P38" s="2176"/>
      <c r="Q38" s="2176"/>
      <c r="R38" s="2180"/>
      <c r="S38" s="2181"/>
      <c r="T38" s="2156"/>
      <c r="U38" s="2181"/>
      <c r="V38" s="2156"/>
      <c r="W38" s="2181"/>
      <c r="X38" s="2182"/>
      <c r="Y38" s="2156"/>
      <c r="Z38" s="2156"/>
      <c r="AA38" s="2156"/>
      <c r="AB38" s="2156"/>
      <c r="AC38" s="2156"/>
      <c r="AD38" s="2156"/>
      <c r="AE38" s="2156"/>
    </row>
    <row r="39" spans="1:31">
      <c r="A39" s="1863" t="s">
        <v>117</v>
      </c>
      <c r="B39" s="2182" t="s">
        <v>16</v>
      </c>
      <c r="C39" s="1403">
        <v>133</v>
      </c>
      <c r="D39" s="1214"/>
      <c r="E39" s="1403">
        <v>378</v>
      </c>
      <c r="F39" s="1214"/>
      <c r="G39" s="1403">
        <f>-'Exh F'!AC123</f>
        <v>345.4</v>
      </c>
      <c r="H39" s="1214"/>
      <c r="I39" s="1214">
        <f>ROUND(SUM(G39)-SUM(C39),1)</f>
        <v>212.4</v>
      </c>
      <c r="J39" s="2182"/>
      <c r="K39" s="2176">
        <f>ROUND(SUM(G39)-SUM(E39),1)</f>
        <v>-32.6</v>
      </c>
      <c r="L39" s="2180"/>
      <c r="M39" s="2176"/>
      <c r="N39" s="2180"/>
      <c r="O39" s="2176"/>
      <c r="P39" s="2176"/>
      <c r="Q39" s="2176"/>
      <c r="R39" s="2180"/>
      <c r="S39" s="2181"/>
      <c r="T39" s="2156"/>
      <c r="U39" s="2181"/>
      <c r="V39" s="2156"/>
      <c r="W39" s="2181"/>
      <c r="X39" s="2182"/>
      <c r="Y39" s="2156"/>
      <c r="Z39" s="2156"/>
      <c r="AA39" s="2156"/>
      <c r="AB39" s="2156"/>
      <c r="AC39" s="2156"/>
      <c r="AD39" s="2156"/>
      <c r="AE39" s="2156"/>
    </row>
    <row r="40" spans="1:31">
      <c r="A40" s="1863" t="s">
        <v>118</v>
      </c>
      <c r="B40" s="2182" t="s">
        <v>16</v>
      </c>
      <c r="C40" s="1403">
        <v>1031</v>
      </c>
      <c r="D40" s="1214"/>
      <c r="E40" s="1403">
        <v>914</v>
      </c>
      <c r="F40" s="1214"/>
      <c r="G40" s="1404">
        <v>1103</v>
      </c>
      <c r="H40" s="1214" t="s">
        <v>1171</v>
      </c>
      <c r="I40" s="1214">
        <f>ROUND(SUM(G40)-SUM(C40),1)</f>
        <v>72</v>
      </c>
      <c r="J40" s="2182"/>
      <c r="K40" s="2176">
        <f>ROUND(SUM(G40)-SUM(E40),1)</f>
        <v>189</v>
      </c>
      <c r="L40" s="2180"/>
      <c r="M40" s="2176"/>
      <c r="N40" s="2180"/>
      <c r="O40" s="2176"/>
      <c r="P40" s="2176"/>
      <c r="Q40" s="2176"/>
      <c r="R40" s="2180"/>
      <c r="S40" s="2181"/>
      <c r="T40" s="2156"/>
      <c r="U40" s="2181"/>
      <c r="V40" s="2156"/>
      <c r="W40" s="2181"/>
      <c r="X40" s="2182"/>
      <c r="Y40" s="2156"/>
      <c r="Z40" s="2156"/>
      <c r="AA40" s="2156"/>
      <c r="AB40" s="2156"/>
      <c r="AC40" s="2156"/>
      <c r="AD40" s="2156"/>
      <c r="AE40" s="2156"/>
    </row>
    <row r="41" spans="1:31">
      <c r="A41" s="1863" t="s">
        <v>120</v>
      </c>
      <c r="B41" s="2182" t="s">
        <v>121</v>
      </c>
      <c r="C41" s="1403">
        <v>818</v>
      </c>
      <c r="D41" s="1214"/>
      <c r="E41" s="1403">
        <v>818</v>
      </c>
      <c r="F41" s="1214"/>
      <c r="G41" s="1404">
        <v>817.1</v>
      </c>
      <c r="H41" s="1214"/>
      <c r="I41" s="1214">
        <f>ROUND(SUM(G41)-SUM(C41),1)</f>
        <v>-0.9</v>
      </c>
      <c r="J41" s="2182"/>
      <c r="K41" s="2176">
        <f>ROUND(SUM(G41)-SUM(E41),1)</f>
        <v>-0.9</v>
      </c>
      <c r="L41" s="2180"/>
      <c r="M41" s="2176"/>
      <c r="N41" s="2180"/>
      <c r="O41" s="2176"/>
      <c r="P41" s="2176"/>
      <c r="Q41" s="2176"/>
      <c r="R41" s="2180"/>
      <c r="S41" s="2181"/>
      <c r="T41" s="2156"/>
      <c r="U41" s="2181"/>
      <c r="V41" s="2156"/>
      <c r="W41" s="2181"/>
      <c r="X41" s="2182"/>
      <c r="Y41" s="2156"/>
      <c r="Z41" s="2156"/>
      <c r="AA41" s="2156"/>
      <c r="AB41" s="2156"/>
      <c r="AC41" s="2156"/>
      <c r="AD41" s="2156"/>
      <c r="AE41" s="2156"/>
    </row>
    <row r="42" spans="1:31">
      <c r="A42" s="1863" t="s">
        <v>122</v>
      </c>
      <c r="B42" s="2182" t="s">
        <v>16</v>
      </c>
      <c r="C42" s="1403">
        <v>1867</v>
      </c>
      <c r="D42" s="1214"/>
      <c r="E42" s="1403">
        <v>1895</v>
      </c>
      <c r="F42" s="1214"/>
      <c r="G42" s="1403">
        <v>1723.9</v>
      </c>
      <c r="H42" s="1214"/>
      <c r="I42" s="1214">
        <f>ROUND(SUM(G42)-SUM(C42),1)</f>
        <v>-143.1</v>
      </c>
      <c r="J42" s="2182"/>
      <c r="K42" s="2176">
        <f>ROUND(SUM(G42)-SUM(E42),1)</f>
        <v>-171.1</v>
      </c>
      <c r="L42" s="2247"/>
      <c r="M42" s="2176"/>
      <c r="N42" s="2177"/>
      <c r="O42" s="2176"/>
      <c r="P42" s="2176"/>
      <c r="Q42" s="2176"/>
      <c r="R42" s="2180"/>
      <c r="S42" s="2181"/>
      <c r="T42" s="2156"/>
      <c r="U42" s="2181"/>
      <c r="V42" s="2156"/>
      <c r="W42" s="2181"/>
      <c r="X42" s="2182"/>
      <c r="Y42" s="2156"/>
      <c r="Z42" s="2156"/>
      <c r="AA42" s="2156"/>
      <c r="AB42" s="2156"/>
      <c r="AC42" s="2156"/>
      <c r="AD42" s="2156"/>
      <c r="AE42" s="2156"/>
    </row>
    <row r="43" spans="1:31" ht="18" customHeight="1">
      <c r="A43" s="380" t="s">
        <v>123</v>
      </c>
      <c r="B43" s="358" t="s">
        <v>16</v>
      </c>
      <c r="C43" s="425">
        <f>ROUND(SUM(C34:C42),1)</f>
        <v>33879</v>
      </c>
      <c r="D43" s="2154"/>
      <c r="E43" s="425">
        <f>ROUND(SUM(E34:E42),1)</f>
        <v>33909</v>
      </c>
      <c r="F43" s="2154"/>
      <c r="G43" s="425">
        <f>ROUND(SUM(G34:G42),1)</f>
        <v>33946</v>
      </c>
      <c r="H43" s="2154"/>
      <c r="I43" s="550">
        <f>ROUND(SUM(I34:I42),1)</f>
        <v>67</v>
      </c>
      <c r="J43" s="358"/>
      <c r="K43" s="550">
        <f>ROUND(SUM(K34:K42),1)</f>
        <v>37</v>
      </c>
      <c r="L43" s="277"/>
      <c r="M43" s="277"/>
      <c r="N43" s="277"/>
      <c r="O43" s="277"/>
      <c r="P43" s="277"/>
      <c r="Q43" s="277"/>
      <c r="R43" s="277"/>
      <c r="S43" s="358"/>
      <c r="T43" s="358"/>
      <c r="U43" s="358"/>
      <c r="V43" s="358"/>
      <c r="W43" s="358"/>
      <c r="X43" s="358"/>
      <c r="Y43" s="358"/>
      <c r="Z43" s="358"/>
      <c r="AA43" s="358"/>
      <c r="AB43" s="358"/>
      <c r="AC43" s="358"/>
      <c r="AD43" s="358"/>
      <c r="AE43" s="358"/>
    </row>
    <row r="44" spans="1:31">
      <c r="A44" s="1407"/>
      <c r="B44" s="2156"/>
      <c r="C44" s="1405"/>
      <c r="D44" s="1214"/>
      <c r="E44" s="1405"/>
      <c r="F44" s="1214"/>
      <c r="G44" s="1405"/>
      <c r="H44" s="1214"/>
      <c r="I44" s="2176"/>
      <c r="J44" s="2156"/>
      <c r="K44" s="2176"/>
      <c r="L44" s="2176"/>
      <c r="M44" s="2176"/>
      <c r="N44" s="2176"/>
      <c r="O44" s="2176"/>
      <c r="P44" s="2176"/>
      <c r="Q44" s="2176"/>
      <c r="R44" s="2176"/>
      <c r="S44" s="2156"/>
      <c r="T44" s="2156"/>
      <c r="U44" s="2156"/>
      <c r="V44" s="2156"/>
      <c r="W44" s="2156"/>
      <c r="X44" s="2156"/>
      <c r="Y44" s="2156"/>
      <c r="Z44" s="2156"/>
      <c r="AA44" s="2156"/>
      <c r="AB44" s="2156"/>
      <c r="AC44" s="2156"/>
      <c r="AD44" s="2156"/>
      <c r="AE44" s="2156"/>
    </row>
    <row r="45" spans="1:31" ht="15.75">
      <c r="A45" s="225" t="s">
        <v>124</v>
      </c>
      <c r="B45" s="2156"/>
      <c r="C45" s="1214"/>
      <c r="D45" s="1214"/>
      <c r="E45" s="1214"/>
      <c r="F45" s="1214"/>
      <c r="G45" s="1214"/>
      <c r="H45" s="1214"/>
      <c r="I45" s="1214"/>
      <c r="J45" s="2156"/>
      <c r="K45" s="2176"/>
      <c r="L45" s="2176"/>
      <c r="M45" s="2176"/>
      <c r="N45" s="2176"/>
      <c r="O45" s="2176"/>
      <c r="P45" s="2176"/>
      <c r="Q45" s="2176"/>
      <c r="R45" s="2176"/>
      <c r="S45" s="2156"/>
      <c r="T45" s="2156"/>
      <c r="U45" s="2156"/>
      <c r="V45" s="2156"/>
      <c r="W45" s="2156"/>
      <c r="X45" s="2156"/>
      <c r="Y45" s="2156"/>
      <c r="Z45" s="2156"/>
      <c r="AA45" s="2156"/>
      <c r="AB45" s="2156"/>
      <c r="AC45" s="2156"/>
      <c r="AD45" s="2156"/>
      <c r="AE45" s="2156"/>
    </row>
    <row r="46" spans="1:31" ht="15.75">
      <c r="A46" s="225" t="s">
        <v>125</v>
      </c>
      <c r="B46" s="2156"/>
      <c r="C46" s="1214"/>
      <c r="D46" s="1214"/>
      <c r="E46" s="1214"/>
      <c r="F46" s="1214"/>
      <c r="G46" s="1214"/>
      <c r="H46" s="1214"/>
      <c r="I46" s="1214"/>
      <c r="J46" s="2156"/>
      <c r="K46" s="2176"/>
      <c r="L46" s="2176"/>
      <c r="M46" s="2176"/>
      <c r="N46" s="2176"/>
      <c r="O46" s="2176"/>
      <c r="P46" s="2176"/>
      <c r="Q46" s="2176"/>
      <c r="R46" s="2176"/>
      <c r="S46" s="2156"/>
      <c r="T46" s="2156"/>
      <c r="U46" s="2156"/>
      <c r="V46" s="2156"/>
      <c r="W46" s="2156"/>
      <c r="X46" s="2156"/>
      <c r="Y46" s="2156"/>
      <c r="Z46" s="2156"/>
      <c r="AA46" s="2156"/>
      <c r="AB46" s="2156"/>
      <c r="AC46" s="2156"/>
      <c r="AD46" s="2156"/>
      <c r="AE46" s="2156"/>
    </row>
    <row r="47" spans="1:31" ht="15.75">
      <c r="A47" s="380" t="s">
        <v>106</v>
      </c>
      <c r="B47" s="2153" t="s">
        <v>16</v>
      </c>
      <c r="C47" s="277">
        <f>ROUND(SUM(C31)-SUM(C43),1)</f>
        <v>328</v>
      </c>
      <c r="D47" s="288"/>
      <c r="E47" s="277">
        <f>ROUND(SUM(E31)-SUM(E43),1)</f>
        <v>5548</v>
      </c>
      <c r="F47" s="288"/>
      <c r="G47" s="277">
        <f>ROUND(SUM(G31)-SUM(G43),1)</f>
        <v>5479.3</v>
      </c>
      <c r="H47" s="288"/>
      <c r="I47" s="277">
        <f>ROUND(SUM(I31)-SUM(I43),1)</f>
        <v>5151.3</v>
      </c>
      <c r="J47" s="358"/>
      <c r="K47" s="277">
        <f>ROUND(SUM(K31)-SUM(K43),1)</f>
        <v>-68.7</v>
      </c>
      <c r="L47" s="277"/>
      <c r="M47" s="758"/>
      <c r="N47" s="277"/>
      <c r="O47" s="758"/>
      <c r="P47" s="277"/>
      <c r="Q47" s="758"/>
      <c r="R47" s="277"/>
      <c r="S47" s="358"/>
      <c r="T47" s="381"/>
      <c r="U47" s="358"/>
      <c r="V47" s="381"/>
      <c r="W47" s="358"/>
      <c r="X47" s="358"/>
      <c r="Y47" s="381"/>
      <c r="Z47" s="358"/>
      <c r="AA47" s="358"/>
      <c r="AB47" s="381"/>
      <c r="AC47" s="358"/>
      <c r="AD47" s="381"/>
      <c r="AE47" s="358"/>
    </row>
    <row r="48" spans="1:31" ht="15" customHeight="1">
      <c r="C48" s="1312"/>
      <c r="D48" s="2165"/>
      <c r="E48" s="1312"/>
      <c r="F48" s="2165"/>
      <c r="G48" s="1312"/>
      <c r="H48" s="2165"/>
      <c r="I48" s="277"/>
      <c r="J48" s="358"/>
      <c r="K48" s="277"/>
      <c r="L48" s="1312"/>
      <c r="M48" s="1312"/>
      <c r="N48" s="1312"/>
      <c r="O48" s="1312"/>
      <c r="P48" s="1312"/>
      <c r="Q48" s="1312"/>
      <c r="R48" s="1312"/>
    </row>
    <row r="49" spans="1:18" ht="15.75">
      <c r="A49" s="2252" t="str">
        <f>'Exh D-Governmental  '!A49</f>
        <v>Fund Balances (Deficits) at April 1</v>
      </c>
      <c r="B49" s="1173" t="s">
        <v>16</v>
      </c>
      <c r="C49" s="277">
        <v>2235</v>
      </c>
      <c r="D49" s="2165"/>
      <c r="E49" s="277">
        <v>2235</v>
      </c>
      <c r="F49" s="2165"/>
      <c r="G49" s="277">
        <f>'Exh F'!AC14</f>
        <v>2235.1999999999998</v>
      </c>
      <c r="H49" s="2165"/>
      <c r="I49" s="285">
        <f>ROUND(SUM(G49-C49),1)</f>
        <v>0.2</v>
      </c>
      <c r="J49" s="358"/>
      <c r="K49" s="277">
        <f>ROUND(SUM(G49)-SUM(E49),1)</f>
        <v>0.2</v>
      </c>
      <c r="L49" s="277"/>
      <c r="M49" s="1312"/>
      <c r="N49" s="277"/>
      <c r="O49" s="1312"/>
      <c r="P49" s="285"/>
      <c r="Q49" s="1312"/>
      <c r="R49" s="1312"/>
    </row>
    <row r="50" spans="1:18" ht="18" customHeight="1" thickBot="1">
      <c r="A50" s="380" t="str">
        <f>'Exh D-Governmental  '!A50</f>
        <v>Fund Balances (Deficits) at October 31</v>
      </c>
      <c r="B50" s="387" t="s">
        <v>16</v>
      </c>
      <c r="C50" s="303">
        <f>ROUND(SUM(C47:C49),1)</f>
        <v>2563</v>
      </c>
      <c r="D50" s="388"/>
      <c r="E50" s="303">
        <f>ROUND(SUM(E47:E49),1)</f>
        <v>7783</v>
      </c>
      <c r="F50" s="388"/>
      <c r="G50" s="303">
        <f>ROUND(SUM(G47:G49),1)</f>
        <v>7714.5</v>
      </c>
      <c r="H50" s="388"/>
      <c r="I50" s="303">
        <f>ROUND(SUM(I47:I49),1)</f>
        <v>5151.5</v>
      </c>
      <c r="J50" s="358"/>
      <c r="K50" s="303">
        <f>ROUND(SUM(K47:K49),1)</f>
        <v>-68.5</v>
      </c>
      <c r="L50" s="429"/>
      <c r="M50" s="2248"/>
      <c r="N50" s="429"/>
      <c r="O50" s="2248"/>
      <c r="P50" s="429"/>
    </row>
    <row r="51" spans="1:18" ht="15" customHeight="1" thickTop="1">
      <c r="A51" s="362"/>
      <c r="G51" s="1173"/>
      <c r="J51" s="1173"/>
      <c r="L51" s="1406"/>
      <c r="M51" s="2249"/>
      <c r="N51" s="2249"/>
      <c r="O51" s="2249"/>
      <c r="P51" s="2249"/>
    </row>
    <row r="52" spans="1:18">
      <c r="A52" s="2169" t="s">
        <v>1493</v>
      </c>
      <c r="M52" s="1173"/>
      <c r="N52" s="1173"/>
      <c r="O52" s="1173"/>
      <c r="P52" s="1173"/>
    </row>
    <row r="53" spans="1:18">
      <c r="A53" s="2658" t="s">
        <v>1651</v>
      </c>
      <c r="M53" s="1173"/>
      <c r="N53" s="1173"/>
      <c r="O53" s="1173"/>
      <c r="P53" s="1173"/>
    </row>
    <row r="54" spans="1:18">
      <c r="A54" s="2186" t="s">
        <v>1492</v>
      </c>
      <c r="M54" s="1173"/>
      <c r="N54" s="1173"/>
      <c r="O54" s="1173"/>
      <c r="P54" s="1173"/>
    </row>
    <row r="55" spans="1:18">
      <c r="A55" s="2186" t="s">
        <v>1539</v>
      </c>
      <c r="M55" s="1173"/>
      <c r="N55" s="1173"/>
      <c r="O55" s="1173"/>
      <c r="P55" s="1173"/>
    </row>
    <row r="56" spans="1:18">
      <c r="A56" s="2186"/>
      <c r="M56" s="1173"/>
      <c r="N56" s="1173"/>
      <c r="O56" s="1173"/>
      <c r="P56" s="1173"/>
    </row>
    <row r="57" spans="1:18">
      <c r="A57" s="2186"/>
      <c r="M57" s="1173"/>
      <c r="N57" s="1173"/>
      <c r="O57" s="1173"/>
      <c r="P57" s="1173"/>
    </row>
    <row r="58" spans="1:18">
      <c r="M58" s="1173"/>
      <c r="N58" s="1173"/>
      <c r="O58" s="1173"/>
      <c r="P58" s="1173"/>
    </row>
    <row r="59" spans="1:18">
      <c r="A59" s="411"/>
      <c r="M59" s="1173"/>
      <c r="N59" s="1173"/>
      <c r="O59" s="1173"/>
      <c r="P59" s="1173"/>
    </row>
    <row r="60" spans="1:18">
      <c r="A60" s="411"/>
    </row>
  </sheetData>
  <customSheetViews>
    <customSheetView guid="{BD09DBC2-63A5-4D9C-9B00-4281066E9389}" scale="80" showPageBreaks="1" showGridLines="0" fitToPage="1" printArea="1" topLeftCell="A16">
      <selection activeCell="I44" sqref="I44"/>
      <pageMargins left="0.75" right="0.75" top="0.75" bottom="0.75" header="0.5" footer="0.25"/>
      <printOptions horizontalCentered="1" verticalCentered="1"/>
      <pageSetup scale="59" firstPageNumber="9" orientation="landscape" useFirstPageNumber="1" r:id="rId1"/>
      <headerFooter alignWithMargins="0">
        <oddFooter>&amp;C&amp;P</oddFooter>
      </headerFooter>
    </customSheetView>
    <customSheetView guid="{C82E0A7D-2B5B-48FC-A705-3168E651E04C}" scale="80" showPageBreaks="1" showGridLines="0" fitToPage="1" topLeftCell="A19">
      <selection activeCell="A6" sqref="A6"/>
      <pageMargins left="0.75" right="0.75" top="0.75" bottom="0.75" header="0.5" footer="0.25"/>
      <printOptions horizontalCentered="1" verticalCentered="1"/>
      <pageSetup scale="32" orientation="landscape" r:id="rId2"/>
      <headerFooter scaleWithDoc="0" alignWithMargins="0">
        <oddFooter>&amp;C&amp;8 9</oddFooter>
      </headerFooter>
    </customSheetView>
    <customSheetView guid="{A8B05C3B-0E7E-44A3-A097-AF4C5C09F04E}" scale="80" showPageBreaks="1" showGridLines="0" fitToPage="1" printArea="1" topLeftCell="A19">
      <selection activeCell="A6" sqref="A6"/>
      <pageMargins left="0.75" right="0.75" top="0.75" bottom="0.75" header="0.5" footer="0.25"/>
      <printOptions horizontalCentered="1" verticalCentered="1"/>
      <pageSetup scale="59" orientation="landscape" r:id="rId3"/>
      <headerFooter scaleWithDoc="0" alignWithMargins="0">
        <oddFooter>&amp;C&amp;8 9</oddFooter>
      </headerFooter>
    </customSheetView>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4"/>
      <headerFooter scaleWithDoc="0" alignWithMargins="0">
        <oddFooter>&amp;C&amp;8 9</oddFooter>
      </headerFooter>
    </customSheetView>
    <customSheetView guid="{4735AAE3-27B4-4549-AAB4-50ACA997F5F5}" scale="80" showPageBreaks="1" showGridLines="0" fitToPage="1" topLeftCell="A25">
      <selection activeCell="E55" sqref="E55"/>
      <pageMargins left="0.75" right="0.75" top="0.75" bottom="0.75" header="0.5" footer="0.25"/>
      <printOptions horizontalCentered="1" verticalCentered="1"/>
      <pageSetup scale="32" orientation="landscape" r:id="rId5"/>
      <headerFooter scaleWithDoc="0" alignWithMargins="0">
        <oddFooter>&amp;C&amp;8 9</oddFooter>
      </headerFooter>
    </customSheetView>
    <customSheetView guid="{80622567-647A-4891-B8EE-6B9E2C4DAC44}" scale="80" showPageBreaks="1" showGridLines="0" fitToPage="1" printArea="1" topLeftCell="A22">
      <selection activeCell="E20" sqref="E20"/>
      <pageMargins left="0.75" right="0.75" top="0.75" bottom="0.75" header="0.5" footer="0.25"/>
      <printOptions horizontalCentered="1" verticalCentered="1"/>
      <pageSetup scale="59" orientation="landscape" r:id="rId6"/>
      <headerFooter scaleWithDoc="0" alignWithMargins="0">
        <oddFooter>&amp;C&amp;8 9</oddFooter>
      </headerFooter>
    </customSheetView>
    <customSheetView guid="{A97EE6C3-4DA8-41BD-BE43-F596EFCB43CA}" scale="80" showPageBreaks="1" showGridLines="0" fitToPage="1" printArea="1" topLeftCell="A16">
      <selection activeCell="L42" sqref="L42"/>
      <pageMargins left="0.75" right="0.75" top="0.75" bottom="0.75" header="0.5" footer="0.25"/>
      <printOptions horizontalCentered="1" verticalCentered="1"/>
      <pageSetup scale="59" orientation="landscape" r:id="rId7"/>
      <headerFooter scaleWithDoc="0" alignWithMargins="0">
        <oddFooter>&amp;C&amp;8 9</oddFooter>
      </headerFooter>
    </customSheetView>
    <customSheetView guid="{90B76C5A-2FC4-40F0-8436-3E4F075A4887}" scale="70" showPageBreaks="1" showGridLines="0" printArea="1">
      <selection activeCell="E20" sqref="E20"/>
      <pageMargins left="0.75" right="0.75" top="0.75" bottom="0.75" header="0.5" footer="0.25"/>
      <printOptions horizontalCentered="1" verticalCentered="1"/>
      <pageSetup scale="58" orientation="landscape" r:id="rId8"/>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9"/>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76</vt:i4>
      </vt:variant>
    </vt:vector>
  </HeadingPairs>
  <TitlesOfParts>
    <vt:vector size="119"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 F'!Print_Area</vt:lpstr>
      <vt:lpstr>'Exhibit A'!Print_Area</vt:lpstr>
      <vt:lpstr>'EXHIBIT E '!Print_Area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 F'!Print_Titles</vt:lpstr>
      <vt:lpstr>'Exhibit G'!Print_Titles</vt:lpstr>
      <vt:lpstr>'Exhibit G Federal'!Print_Titles</vt:lpstr>
      <vt:lpstr>'Exhibit G state'!Print_Titles</vt:lpstr>
      <vt:lpstr>'Exhibit H'!Print_Titles</vt:lpstr>
      <vt:lpstr>'Exhibit I Federal'!Print_Titles</vt:lpstr>
      <vt:lpstr>'HCRA PROG DISB'!Print_Titles</vt:lpstr>
      <vt:lpstr>'Public Goods '!Print_Titles</vt:lpstr>
      <vt:lpstr>'Sch 1 '!Print_Titles</vt:lpstr>
      <vt:lpstr>'Table of Contents'!Print_Titles</vt:lpstr>
      <vt:lpstr>'Sch 3 '!Sch3_2</vt:lpstr>
      <vt:lpstr>'EXHIBIT E '!STATE_OF_NEW_YORK</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Carrie Piser</dc:creator>
  <cp:lastModifiedBy>Stephen Raptoulis</cp:lastModifiedBy>
  <cp:lastPrinted>2014-11-14T21:15:01Z</cp:lastPrinted>
  <dcterms:created xsi:type="dcterms:W3CDTF">2014-07-15T19:04:28Z</dcterms:created>
  <dcterms:modified xsi:type="dcterms:W3CDTF">2014-11-14T21:22:22Z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