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laplante\Downloads\"/>
    </mc:Choice>
  </mc:AlternateContent>
  <xr:revisionPtr revIDLastSave="0" documentId="8_{E1C3C0C1-CAA4-458C-9EED-EE37611B2401}" xr6:coauthVersionLast="47" xr6:coauthVersionMax="47" xr10:uidLastSave="{00000000-0000-0000-0000-000000000000}"/>
  <bookViews>
    <workbookView xWindow="-110" yWindow="-110" windowWidth="19420" windowHeight="11500" tabRatio="777" activeTab="2" xr2:uid="{327E8300-3A7D-477E-86CA-2384A828B00B}"/>
  </bookViews>
  <sheets>
    <sheet name="Overview and Summary" sheetId="3" r:id="rId1"/>
    <sheet name="Funds Received - Monthly" sheetId="2" r:id="rId2"/>
    <sheet name="Funds Spent - Monthly" sheetId="4" r:id="rId3"/>
  </sheets>
  <definedNames>
    <definedName name="_xlnm.Print_Area" localSheetId="1">'Funds Received - Monthly'!$B$1:$AA$43</definedName>
    <definedName name="_xlnm.Print_Area" localSheetId="2">'Funds Spent - Monthly'!$B$1:$AA$37</definedName>
    <definedName name="_xlnm.Print_Area" localSheetId="0">'Overview and Summary'!$B$1:$E$20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23" i="4" l="1"/>
  <c r="AX16" i="4"/>
  <c r="AX9" i="4"/>
  <c r="AX34" i="2"/>
  <c r="AX27" i="2"/>
  <c r="AX22" i="2"/>
  <c r="AX17" i="2"/>
  <c r="AX9" i="2"/>
  <c r="AW23" i="4"/>
  <c r="AW16" i="4"/>
  <c r="AW9" i="4"/>
  <c r="AX31" i="4" l="1"/>
  <c r="AX38" i="2"/>
  <c r="AW31" i="4"/>
  <c r="AW34" i="2"/>
  <c r="AW27" i="2"/>
  <c r="AW22" i="2"/>
  <c r="AW17" i="2"/>
  <c r="AW9" i="2"/>
  <c r="AV23" i="4"/>
  <c r="AV16" i="4"/>
  <c r="AV31" i="4" s="1"/>
  <c r="AV9" i="4"/>
  <c r="AV34" i="2"/>
  <c r="AV27" i="2"/>
  <c r="AV22" i="2"/>
  <c r="AV17" i="2"/>
  <c r="AV9" i="2"/>
  <c r="AU23" i="4"/>
  <c r="AU16" i="4"/>
  <c r="AU9" i="4"/>
  <c r="AU34" i="2"/>
  <c r="AU27" i="2"/>
  <c r="AU22" i="2"/>
  <c r="AU17" i="2"/>
  <c r="AU9" i="2"/>
  <c r="AT23" i="4"/>
  <c r="AT16" i="4"/>
  <c r="AT9" i="4"/>
  <c r="AT34" i="2"/>
  <c r="AT27" i="2"/>
  <c r="AT22" i="2"/>
  <c r="AT17" i="2"/>
  <c r="AT9" i="2"/>
  <c r="AS23" i="4"/>
  <c r="AS16" i="4"/>
  <c r="AS9" i="4"/>
  <c r="AS34" i="2"/>
  <c r="AS27" i="2"/>
  <c r="AS22" i="2"/>
  <c r="AS17" i="2"/>
  <c r="AS9" i="2"/>
  <c r="AR23" i="4"/>
  <c r="AR16" i="4"/>
  <c r="AR9" i="4"/>
  <c r="AR34" i="2"/>
  <c r="AR27" i="2"/>
  <c r="AR22" i="2"/>
  <c r="AR17" i="2"/>
  <c r="AR9" i="2"/>
  <c r="AQ9" i="4"/>
  <c r="AQ16" i="4"/>
  <c r="AQ23" i="4"/>
  <c r="AQ34" i="2"/>
  <c r="AQ38" i="2" s="1"/>
  <c r="AQ27" i="2"/>
  <c r="AQ22" i="2"/>
  <c r="AQ17" i="2"/>
  <c r="AQ9" i="2"/>
  <c r="AP23" i="4"/>
  <c r="AP16" i="4"/>
  <c r="AP31" i="4" s="1"/>
  <c r="AP9" i="4"/>
  <c r="AP34" i="2"/>
  <c r="AP27" i="2"/>
  <c r="AP22" i="2"/>
  <c r="AP17" i="2"/>
  <c r="AP9" i="2"/>
  <c r="AO23" i="4"/>
  <c r="AO16" i="4"/>
  <c r="AO9" i="4"/>
  <c r="AO34" i="2"/>
  <c r="AO27" i="2"/>
  <c r="AO22" i="2"/>
  <c r="AO17" i="2"/>
  <c r="AO9" i="2"/>
  <c r="AN34" i="2"/>
  <c r="AN27" i="2"/>
  <c r="AN22" i="2"/>
  <c r="AN17" i="2"/>
  <c r="AN9" i="2"/>
  <c r="AN31" i="4"/>
  <c r="AN23" i="4"/>
  <c r="AN16" i="4"/>
  <c r="AN9" i="4"/>
  <c r="AM34" i="2"/>
  <c r="AM27" i="2"/>
  <c r="AM22" i="2"/>
  <c r="AM17" i="2"/>
  <c r="AM9" i="2"/>
  <c r="AM31" i="4"/>
  <c r="AM23" i="4"/>
  <c r="AM9" i="4"/>
  <c r="AM16" i="4"/>
  <c r="AL34" i="2"/>
  <c r="AL27" i="2"/>
  <c r="AL22" i="2"/>
  <c r="AL17" i="2"/>
  <c r="AL9" i="2"/>
  <c r="AL23" i="4"/>
  <c r="AL16" i="4"/>
  <c r="AL9" i="4"/>
  <c r="AK23" i="4"/>
  <c r="AK16" i="4"/>
  <c r="AK9" i="4"/>
  <c r="AK9" i="2"/>
  <c r="AK17" i="2"/>
  <c r="AK22" i="2"/>
  <c r="AK27" i="2"/>
  <c r="AK34" i="2"/>
  <c r="AJ23" i="4"/>
  <c r="AJ16" i="4"/>
  <c r="AJ9" i="4"/>
  <c r="AJ34" i="2"/>
  <c r="AJ27" i="2"/>
  <c r="AJ22" i="2"/>
  <c r="AJ17" i="2"/>
  <c r="AJ9" i="2"/>
  <c r="AI23" i="4"/>
  <c r="AI16" i="4"/>
  <c r="AI9" i="4"/>
  <c r="AI34" i="2"/>
  <c r="AI27" i="2"/>
  <c r="AI22" i="2"/>
  <c r="AI17" i="2"/>
  <c r="AI9" i="2"/>
  <c r="AH23" i="4"/>
  <c r="AH16" i="4"/>
  <c r="AH9" i="4"/>
  <c r="AH34" i="2"/>
  <c r="AH27" i="2"/>
  <c r="AH22" i="2"/>
  <c r="AH17" i="2"/>
  <c r="AH9" i="2"/>
  <c r="AW38" i="2" l="1"/>
  <c r="AV38" i="2"/>
  <c r="AU31" i="4"/>
  <c r="AU38" i="2"/>
  <c r="AT31" i="4"/>
  <c r="AT38" i="2"/>
  <c r="AS31" i="4"/>
  <c r="AS38" i="2"/>
  <c r="AR31" i="4"/>
  <c r="AR38" i="2"/>
  <c r="AQ31" i="4"/>
  <c r="AP38" i="2"/>
  <c r="AO31" i="4"/>
  <c r="AO38" i="2"/>
  <c r="AN38" i="2"/>
  <c r="AM38" i="2"/>
  <c r="AL31" i="4"/>
  <c r="AL38" i="2"/>
  <c r="AK31" i="4"/>
  <c r="AK38" i="2"/>
  <c r="AJ31" i="4"/>
  <c r="AJ38" i="2"/>
  <c r="AI31" i="4"/>
  <c r="AI38" i="2"/>
  <c r="AH31" i="4"/>
  <c r="AH38" i="2"/>
  <c r="AG31" i="4" l="1"/>
  <c r="AF38" i="2"/>
  <c r="AG38" i="2"/>
  <c r="AF34" i="2"/>
  <c r="AG34" i="2"/>
  <c r="AF23" i="4"/>
  <c r="AG23" i="4"/>
  <c r="AF27" i="2"/>
  <c r="AG27" i="2"/>
  <c r="AF22" i="2"/>
  <c r="AG22" i="2"/>
  <c r="AF16" i="4"/>
  <c r="AG16" i="4"/>
  <c r="AF17" i="2"/>
  <c r="AG17" i="2"/>
  <c r="AF9" i="2"/>
  <c r="AG9" i="2"/>
  <c r="AF9" i="4"/>
  <c r="AF31" i="4" s="1"/>
  <c r="AG9" i="4"/>
  <c r="AE34" i="2" l="1"/>
  <c r="AE27" i="2"/>
  <c r="AE22" i="2"/>
  <c r="AE17" i="2"/>
  <c r="AE9" i="2"/>
  <c r="AE31" i="4"/>
  <c r="AE23" i="4"/>
  <c r="AE16" i="4"/>
  <c r="AE9" i="4"/>
  <c r="AD38" i="2"/>
  <c r="AD31" i="4"/>
  <c r="AD34" i="2"/>
  <c r="AD23" i="4"/>
  <c r="AD27" i="2"/>
  <c r="AD22" i="2"/>
  <c r="AD17" i="2"/>
  <c r="AE38" i="2" l="1"/>
  <c r="AD16" i="4"/>
  <c r="AD9" i="2"/>
  <c r="AD9" i="4"/>
  <c r="AC23" i="4" l="1"/>
  <c r="AC16" i="4"/>
  <c r="AC9" i="4"/>
  <c r="AC34" i="2"/>
  <c r="AC27" i="2"/>
  <c r="AC22" i="2"/>
  <c r="AC17" i="2"/>
  <c r="AC9" i="2"/>
  <c r="AB23" i="4"/>
  <c r="AB16" i="4"/>
  <c r="AB9" i="4"/>
  <c r="AB34" i="2"/>
  <c r="AB27" i="2"/>
  <c r="AB22" i="2"/>
  <c r="AB17" i="2"/>
  <c r="AB9" i="2"/>
  <c r="AA23" i="4"/>
  <c r="AA16" i="4"/>
  <c r="AA9" i="4"/>
  <c r="AA34" i="2"/>
  <c r="AA27" i="2"/>
  <c r="AA22" i="2"/>
  <c r="AA17" i="2"/>
  <c r="AA9" i="2"/>
  <c r="Z23" i="4"/>
  <c r="Z16" i="4"/>
  <c r="Z9" i="4"/>
  <c r="Z34" i="2"/>
  <c r="Z27" i="2"/>
  <c r="Z22" i="2"/>
  <c r="Z17" i="2"/>
  <c r="Z9" i="2"/>
  <c r="Y23" i="4"/>
  <c r="Y16" i="4"/>
  <c r="Y9" i="4"/>
  <c r="Y34" i="2"/>
  <c r="Y27" i="2"/>
  <c r="Y22" i="2"/>
  <c r="Y17" i="2"/>
  <c r="Y9" i="2"/>
  <c r="X23" i="4"/>
  <c r="X16" i="4"/>
  <c r="X9" i="4"/>
  <c r="X34" i="2"/>
  <c r="X27" i="2"/>
  <c r="X22" i="2"/>
  <c r="X17" i="2"/>
  <c r="X9" i="2"/>
  <c r="W23" i="4"/>
  <c r="W16" i="4"/>
  <c r="W9" i="4"/>
  <c r="W34" i="2"/>
  <c r="W27" i="2"/>
  <c r="W22" i="2"/>
  <c r="W17" i="2"/>
  <c r="W9" i="2"/>
  <c r="V23" i="4"/>
  <c r="V16" i="4"/>
  <c r="V9" i="4"/>
  <c r="V34" i="2"/>
  <c r="V26" i="2"/>
  <c r="V27" i="2" s="1"/>
  <c r="V22" i="2"/>
  <c r="V17" i="2"/>
  <c r="V9" i="2"/>
  <c r="U23" i="4"/>
  <c r="U16" i="4"/>
  <c r="U9" i="4"/>
  <c r="U34" i="2"/>
  <c r="U26" i="2"/>
  <c r="U27" i="2" s="1"/>
  <c r="U22" i="2"/>
  <c r="U17" i="2"/>
  <c r="U7" i="2"/>
  <c r="U9" i="2" s="1"/>
  <c r="T23" i="4"/>
  <c r="T16" i="4"/>
  <c r="T9" i="4"/>
  <c r="T34" i="2"/>
  <c r="T26" i="2"/>
  <c r="T27" i="2" s="1"/>
  <c r="T22" i="2"/>
  <c r="T17" i="2"/>
  <c r="T7" i="2"/>
  <c r="T9" i="2" s="1"/>
  <c r="S23" i="4"/>
  <c r="S16" i="4"/>
  <c r="S9" i="4"/>
  <c r="AC31" i="4" l="1"/>
  <c r="AC38" i="2"/>
  <c r="AB31" i="4"/>
  <c r="AB38" i="2"/>
  <c r="AA31" i="4"/>
  <c r="AA38" i="2"/>
  <c r="Z31" i="4"/>
  <c r="Z38" i="2"/>
  <c r="Y31" i="4"/>
  <c r="Y38" i="2"/>
  <c r="X31" i="4"/>
  <c r="X38" i="2"/>
  <c r="W31" i="4"/>
  <c r="W38" i="2"/>
  <c r="V31" i="4"/>
  <c r="V38" i="2"/>
  <c r="U31" i="4"/>
  <c r="U38" i="2"/>
  <c r="T31" i="4"/>
  <c r="T38" i="2"/>
  <c r="S31" i="4"/>
  <c r="S34" i="2" l="1"/>
  <c r="S26" i="2"/>
  <c r="S27" i="2" s="1"/>
  <c r="S22" i="2"/>
  <c r="S17" i="2"/>
  <c r="S7" i="2"/>
  <c r="S9" i="2" s="1"/>
  <c r="R23" i="4"/>
  <c r="R16" i="4"/>
  <c r="R9" i="4"/>
  <c r="R34" i="2"/>
  <c r="R26" i="2"/>
  <c r="R27" i="2" s="1"/>
  <c r="R22" i="2"/>
  <c r="R17" i="2"/>
  <c r="R9" i="2"/>
  <c r="R7" i="2"/>
  <c r="Q23" i="4"/>
  <c r="Q16" i="4"/>
  <c r="Q9" i="4"/>
  <c r="Q34" i="2"/>
  <c r="Q26" i="2"/>
  <c r="Q27" i="2" s="1"/>
  <c r="Q22" i="2"/>
  <c r="Q17" i="2"/>
  <c r="Q7" i="2"/>
  <c r="Q9" i="2" s="1"/>
  <c r="P23" i="4"/>
  <c r="P16" i="4"/>
  <c r="P9" i="4"/>
  <c r="P26" i="2"/>
  <c r="P27" i="2" s="1"/>
  <c r="P7" i="2"/>
  <c r="S38" i="2" l="1"/>
  <c r="R31" i="4"/>
  <c r="R38" i="2"/>
  <c r="Q31" i="4"/>
  <c r="Q38" i="2"/>
  <c r="P31" i="4"/>
  <c r="O23" i="4"/>
  <c r="O16" i="4"/>
  <c r="O9" i="4"/>
  <c r="O26" i="2"/>
  <c r="O27" i="2" s="1"/>
  <c r="O7" i="2"/>
  <c r="D9" i="3"/>
  <c r="D11" i="3"/>
  <c r="N7" i="2"/>
  <c r="O31" i="4" l="1"/>
  <c r="N26" i="2"/>
  <c r="N27" i="2" s="1"/>
  <c r="M26" i="2"/>
  <c r="M27" i="2" s="1"/>
  <c r="L26" i="2"/>
  <c r="L27" i="2" s="1"/>
  <c r="K26" i="2"/>
  <c r="K27" i="2" s="1"/>
  <c r="J26" i="2"/>
  <c r="J27" i="2" s="1"/>
  <c r="I26" i="2"/>
  <c r="I27" i="2" s="1"/>
  <c r="H26" i="2"/>
  <c r="H27" i="2" s="1"/>
  <c r="G26" i="2"/>
  <c r="G27" i="2" s="1"/>
  <c r="F26" i="2"/>
  <c r="F27" i="2" s="1"/>
  <c r="E26" i="2"/>
  <c r="E27" i="2" s="1"/>
  <c r="D26" i="2"/>
  <c r="D27" i="2" s="1"/>
  <c r="C26" i="2" l="1"/>
  <c r="C27" i="2" s="1"/>
  <c r="E20" i="2"/>
  <c r="D21" i="2"/>
  <c r="D22" i="2" s="1"/>
  <c r="E21" i="2" l="1"/>
  <c r="F21" i="2" s="1"/>
  <c r="N23" i="4"/>
  <c r="N16" i="4"/>
  <c r="N9" i="4"/>
  <c r="M23" i="4"/>
  <c r="M16" i="4"/>
  <c r="M9" i="4"/>
  <c r="C22" i="2"/>
  <c r="N14" i="2"/>
  <c r="J15" i="2"/>
  <c r="D16" i="2"/>
  <c r="E16" i="2" s="1"/>
  <c r="I14" i="2"/>
  <c r="J14" i="2" s="1"/>
  <c r="D14" i="2"/>
  <c r="C17" i="2"/>
  <c r="D17" i="2" l="1"/>
  <c r="M31" i="4"/>
  <c r="F16" i="2"/>
  <c r="E17" i="2"/>
  <c r="F22" i="2"/>
  <c r="G21" i="2"/>
  <c r="E22" i="2"/>
  <c r="N31" i="4"/>
  <c r="F17" i="2" l="1"/>
  <c r="G16" i="2"/>
  <c r="G22" i="2"/>
  <c r="H21" i="2"/>
  <c r="D33" i="2"/>
  <c r="D34" i="2" s="1"/>
  <c r="C34" i="2"/>
  <c r="M7" i="2"/>
  <c r="E33" i="2" l="1"/>
  <c r="H22" i="2"/>
  <c r="I21" i="2"/>
  <c r="G17" i="2"/>
  <c r="H16" i="2"/>
  <c r="L7" i="2"/>
  <c r="K7" i="2"/>
  <c r="J7" i="2"/>
  <c r="D8" i="2"/>
  <c r="D9" i="2" s="1"/>
  <c r="D38" i="2" s="1"/>
  <c r="C9" i="2"/>
  <c r="C38" i="2" s="1"/>
  <c r="L23" i="4"/>
  <c r="D9" i="4"/>
  <c r="E9" i="4"/>
  <c r="F9" i="4"/>
  <c r="G9" i="4"/>
  <c r="H9" i="4"/>
  <c r="I9" i="4"/>
  <c r="J9" i="4"/>
  <c r="K9" i="4"/>
  <c r="L9" i="4"/>
  <c r="C9" i="4"/>
  <c r="H17" i="2" l="1"/>
  <c r="I16" i="2"/>
  <c r="I22" i="2"/>
  <c r="J21" i="2"/>
  <c r="E8" i="2"/>
  <c r="E34" i="2"/>
  <c r="F33" i="2"/>
  <c r="K23" i="4"/>
  <c r="J23" i="4"/>
  <c r="I23" i="4"/>
  <c r="H23" i="4"/>
  <c r="G23" i="4"/>
  <c r="F23" i="4"/>
  <c r="E23" i="4"/>
  <c r="D23" i="4"/>
  <c r="C23" i="4"/>
  <c r="D16" i="4"/>
  <c r="E16" i="4"/>
  <c r="F16" i="4"/>
  <c r="G16" i="4"/>
  <c r="H16" i="4"/>
  <c r="I16" i="4"/>
  <c r="J16" i="4"/>
  <c r="K16" i="4"/>
  <c r="K31" i="4" s="1"/>
  <c r="L16" i="4"/>
  <c r="L31" i="4" s="1"/>
  <c r="C16" i="4"/>
  <c r="H31" i="4" l="1"/>
  <c r="C31" i="4"/>
  <c r="I31" i="4"/>
  <c r="G31" i="4"/>
  <c r="F31" i="4"/>
  <c r="E31" i="4"/>
  <c r="D31" i="4"/>
  <c r="J31" i="4"/>
  <c r="F34" i="2"/>
  <c r="G33" i="2"/>
  <c r="E9" i="2"/>
  <c r="E38" i="2" s="1"/>
  <c r="F8" i="2"/>
  <c r="J22" i="2"/>
  <c r="K21" i="2"/>
  <c r="J16" i="2"/>
  <c r="I17" i="2"/>
  <c r="E12" i="3"/>
  <c r="K16" i="2" l="1"/>
  <c r="J17" i="2"/>
  <c r="F9" i="2"/>
  <c r="F38" i="2" s="1"/>
  <c r="G8" i="2"/>
  <c r="K22" i="2"/>
  <c r="L21" i="2"/>
  <c r="G34" i="2"/>
  <c r="H33" i="2"/>
  <c r="H34" i="2" l="1"/>
  <c r="I33" i="2"/>
  <c r="L22" i="2"/>
  <c r="M21" i="2"/>
  <c r="G9" i="2"/>
  <c r="G38" i="2" s="1"/>
  <c r="H8" i="2"/>
  <c r="K17" i="2"/>
  <c r="L16" i="2"/>
  <c r="M16" i="2" l="1"/>
  <c r="L17" i="2"/>
  <c r="I34" i="2"/>
  <c r="J33" i="2"/>
  <c r="H9" i="2"/>
  <c r="H38" i="2" s="1"/>
  <c r="I8" i="2"/>
  <c r="M22" i="2"/>
  <c r="N21" i="2"/>
  <c r="O21" i="2" l="1"/>
  <c r="N22" i="2"/>
  <c r="J34" i="2"/>
  <c r="K33" i="2"/>
  <c r="J8" i="2"/>
  <c r="I9" i="2"/>
  <c r="I38" i="2" s="1"/>
  <c r="M17" i="2"/>
  <c r="N16" i="2"/>
  <c r="O16" i="2" l="1"/>
  <c r="N17" i="2"/>
  <c r="K8" i="2"/>
  <c r="J9" i="2"/>
  <c r="J38" i="2" s="1"/>
  <c r="K34" i="2"/>
  <c r="L33" i="2"/>
  <c r="P22" i="2"/>
  <c r="O22" i="2"/>
  <c r="L34" i="2" l="1"/>
  <c r="M33" i="2"/>
  <c r="K9" i="2"/>
  <c r="K38" i="2" s="1"/>
  <c r="L8" i="2"/>
  <c r="P17" i="2"/>
  <c r="O17" i="2"/>
  <c r="L9" i="2" l="1"/>
  <c r="L38" i="2" s="1"/>
  <c r="M8" i="2"/>
  <c r="M34" i="2"/>
  <c r="N33" i="2"/>
  <c r="N34" i="2" l="1"/>
  <c r="D12" i="3" s="1"/>
  <c r="O33" i="2"/>
  <c r="N8" i="2"/>
  <c r="M9" i="2"/>
  <c r="M38" i="2" s="1"/>
  <c r="O8" i="2" l="1"/>
  <c r="P8" i="2" s="1"/>
  <c r="N9" i="2"/>
  <c r="N38" i="2" s="1"/>
  <c r="P34" i="2"/>
  <c r="O34" i="2"/>
  <c r="P9" i="2" l="1"/>
  <c r="P38" i="2" s="1"/>
  <c r="O9" i="2"/>
  <c r="O38" i="2" s="1"/>
</calcChain>
</file>

<file path=xl/sharedStrings.xml><?xml version="1.0" encoding="utf-8"?>
<sst xmlns="http://schemas.openxmlformats.org/spreadsheetml/2006/main" count="182" uniqueCount="106">
  <si>
    <t>COVID-19 Relief Program Tracker</t>
  </si>
  <si>
    <t>Elementary and Secondary School Emergency Relief</t>
  </si>
  <si>
    <t>State and Local Fiscal Recovery Fund</t>
  </si>
  <si>
    <t>Coronavirus Relief Fund</t>
  </si>
  <si>
    <t>Child Care Services</t>
  </si>
  <si>
    <t>Emergency Rental Assistance</t>
  </si>
  <si>
    <t>Homeowners Assistance Fund</t>
  </si>
  <si>
    <t>Excluded Worker Fund</t>
  </si>
  <si>
    <t>Small Business Recovery</t>
  </si>
  <si>
    <t>$13.5 billion</t>
  </si>
  <si>
    <t>$5.1 billion</t>
  </si>
  <si>
    <t>$2.5 billion</t>
  </si>
  <si>
    <t>$539.5 million</t>
  </si>
  <si>
    <t>Technical Notes</t>
  </si>
  <si>
    <t>Funds Expected to Be Received</t>
  </si>
  <si>
    <t>Funds Received</t>
  </si>
  <si>
    <t>Funds Spent</t>
  </si>
  <si>
    <t>$2.1 billion</t>
  </si>
  <si>
    <t>$14.0 billion</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</si>
  <si>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</si>
  <si>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Anticipated funding (federal and/or State) available for New York State or for “pass through” to other recipients, such as childcare providers, landlords, or local governments. These estimates are from sources including the Division of the Budget, legislative appropriations, federal and State agencies, and Federal Funds Information for States.  Funds paid directly by the federal government to beneficiaries are not included.</t>
  </si>
  <si>
    <t>Payments made by the State, either to direct beneficiaries or as a pass through to other recipients. Such payments may be backed with federal or State funds. Disbursements do not include disbursements made by entities other than the State, such as local governments or school districts, that receive federal funding directly. Executive Branch agencies may report different “spending” values that reflect stages of program management that occur prior to final payment, such as request for proposal amounts, awards or contract encumbrances. Disbursements may exceed estimated program receipts due to timing differences between State payments and federal reimbursement.  Funds paid directly by the federal government to beneficiaries are not included.</t>
  </si>
  <si>
    <t>June 2022</t>
  </si>
  <si>
    <t>May 2022</t>
  </si>
  <si>
    <t>April 2022</t>
  </si>
  <si>
    <t>February 2022</t>
  </si>
  <si>
    <t>January 2022</t>
  </si>
  <si>
    <t>December 2021</t>
  </si>
  <si>
    <t>November 2021</t>
  </si>
  <si>
    <t>October 2021</t>
  </si>
  <si>
    <t>September 2021</t>
  </si>
  <si>
    <t>Funds Received As of Month Ending:</t>
  </si>
  <si>
    <t>Interest Earned</t>
  </si>
  <si>
    <t>State and Local Fiscal Recovery Fund Total</t>
  </si>
  <si>
    <t>Federal Funding</t>
  </si>
  <si>
    <t>March 2022</t>
  </si>
  <si>
    <t>State Funding</t>
  </si>
  <si>
    <t>Emergency Rental Assistance Total</t>
  </si>
  <si>
    <t>Homeowners Assistance Fund Total</t>
  </si>
  <si>
    <t>Small Business Recovery Total</t>
  </si>
  <si>
    <t>TOTAL</t>
  </si>
  <si>
    <t>Coronavirus Relief Fund Total</t>
  </si>
  <si>
    <t xml:space="preserve">Coronavirus Relief Fund </t>
  </si>
  <si>
    <t>Excluded Worker Fund Total (State Only)</t>
  </si>
  <si>
    <t>Federal and State Funds Expected to Be Awarded</t>
  </si>
  <si>
    <t>Funds Received (including interest earned)</t>
  </si>
  <si>
    <t>Utility Arrears Relief Program</t>
  </si>
  <si>
    <t>$250 million</t>
  </si>
  <si>
    <t>Funds Disbursed As of Month Ending (includes spending from interest earned):</t>
  </si>
  <si>
    <t>State</t>
  </si>
  <si>
    <t>Local Governments</t>
  </si>
  <si>
    <t>July 2022</t>
  </si>
  <si>
    <t>August 2022</t>
  </si>
  <si>
    <t>Child Care Services (Federal Only)</t>
  </si>
  <si>
    <t>Utility Arrears Relief Total (State Only)</t>
  </si>
  <si>
    <t>Elementary and Secondary School Emergency Relief 
(Federal Only)</t>
  </si>
  <si>
    <t>Excluded Worker Fund Total 
(State Only)</t>
  </si>
  <si>
    <t xml:space="preserve">Federal aid received by the State of New York, either for direct program administration or pass through to other recipients. In some cases, the State has already received all the funding for which it is eligible; in other cases, the State will be reimbursed by the federal government for spending made under a certain program.  Funds paid directly by the federal government to beneficiaries are not included.
Interest Earned includes Short Term Investment Pool (STIP) Interest.  The STIP was created by the Legislature on July 1, 1973 as an investment vehicle to manage state and local government cash. Since its creation, the STIP has provided a safe, convenient way for state and local government agencies to invest and withdraw cash with 24-hour notice. Local governments have other investment options as permitted by law and use the STIP at their discretion. </t>
  </si>
  <si>
    <t>Elementary and Secondary School Emergency Relief Total (Federal Only)</t>
  </si>
  <si>
    <t>State and Local Fiscal Recovery Fund (Federal and Interest)</t>
  </si>
  <si>
    <t>Coronavirus Relief Fund Total (Federal and Interest)</t>
  </si>
  <si>
    <t>Child Care Services Total (Federal Only)</t>
  </si>
  <si>
    <t>Emergency Rental Assistance (Includes Interest)</t>
  </si>
  <si>
    <t>Homeowners Assistance Fund Total (Federal and Interest)</t>
  </si>
  <si>
    <t>$1.7 billion</t>
  </si>
  <si>
    <t>September 2022</t>
  </si>
  <si>
    <t>October 2022</t>
  </si>
  <si>
    <t>November 2022</t>
  </si>
  <si>
    <t>December 2022</t>
  </si>
  <si>
    <t>January 2023</t>
  </si>
  <si>
    <t>February 2023</t>
  </si>
  <si>
    <t>March 2023</t>
  </si>
  <si>
    <t>April 2023</t>
  </si>
  <si>
    <t>May 2023</t>
  </si>
  <si>
    <t>$4.5 billion</t>
  </si>
  <si>
    <t>June 2023</t>
  </si>
  <si>
    <t>July 2023</t>
  </si>
  <si>
    <t>August 2023</t>
  </si>
  <si>
    <t>September 2023</t>
  </si>
  <si>
    <t>October 2023</t>
  </si>
  <si>
    <t>November2023</t>
  </si>
  <si>
    <t>November 2023</t>
  </si>
  <si>
    <t>December 2023</t>
  </si>
  <si>
    <t>January 2024</t>
  </si>
  <si>
    <t>February 2024</t>
  </si>
  <si>
    <t>March 2024</t>
  </si>
  <si>
    <t>June 2024</t>
  </si>
  <si>
    <t>September 2024</t>
  </si>
  <si>
    <t>October 2024</t>
  </si>
  <si>
    <t>November 2024</t>
  </si>
  <si>
    <t>December 2024</t>
  </si>
  <si>
    <t>January  2025</t>
  </si>
  <si>
    <t>February 2025</t>
  </si>
  <si>
    <t>March 2025</t>
  </si>
  <si>
    <t>April 2025</t>
  </si>
  <si>
    <t>May 2025</t>
  </si>
  <si>
    <t>June 2025</t>
  </si>
  <si>
    <t>July  2025</t>
  </si>
  <si>
    <t>`</t>
  </si>
  <si>
    <t>July 2025</t>
  </si>
  <si>
    <t>August 2025</t>
  </si>
  <si>
    <t>September 2025</t>
  </si>
  <si>
    <t>October 2025</t>
  </si>
  <si>
    <t>November 2025</t>
  </si>
  <si>
    <t>As of December 31, 2025</t>
  </si>
  <si>
    <t>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</si>
</sst>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quot;$&quot;* #,##0_);_(&quot;$&quot;* \(#,##0\);_(&quot;$&quot;* &quot;-&quot;?_);_(@_)"/>
  </numFmts>
  <fonts count="18">
    <font>
      <sz val="11"/>
      <color theme="1"/>
      <name val="Calibri"/>
      <family val="2"/>
    </font>
    <font>
      <sz val="11"/>
      <color theme="1"/>
      <name val="Calibri"/>
      <family val="2"/>
    </font>
    <font>
      <sz val="18"/>
      <color theme="3"/>
      <name val="Calibri Light"/>
      <family val="2"/>
      <scheme val="major"/>
    </font>
    <font>
      <b/>
      <sz val="10"/>
      <color theme="3"/>
      <name val="Calibri Light"/>
      <family val="2"/>
      <scheme val="major"/>
    </font>
    <font>
      <b/>
      <sz val="11"/>
      <color theme="3"/>
      <name val="Calibri Light"/>
      <family val="2"/>
      <scheme val="major"/>
    </font>
    <font>
      <sz val="14"/>
      <color rgb="FF333333"/>
      <name val="Inherit"/>
    </font>
    <font>
      <b/>
      <u/>
      <sz val="10"/>
      <color rgb="FF333333"/>
      <name val="Helvetica Neue"/>
    </font>
    <font>
      <sz val="10"/>
      <color theme="1"/>
      <name val="Calibri"/>
      <family val="2"/>
    </font>
    <font>
      <sz val="10"/>
      <color rgb="FF333333"/>
      <name val="Helvetica Neue"/>
    </font>
    <font>
      <b/>
      <sz val="11"/>
      <color rgb="FFFF0000"/>
      <name val="Calibri"/>
      <family val="2"/>
    </font>
    <font>
      <b/>
      <sz val="11"/>
      <color theme="1"/>
      <name val="Calibri"/>
      <family val="2"/>
    </font>
    <font>
      <b/>
      <u/>
      <sz val="11"/>
      <color theme="1"/>
      <name val="Calibri"/>
      <family val="2"/>
    </font>
    <font>
      <b/>
      <sz val="11"/>
      <color theme="3"/>
      <name val="Calibri"/>
      <family val="2"/>
      <scheme val="minor"/>
    </font>
    <font>
      <sz val="11"/>
      <color theme="1"/>
      <name val="Calibri"/>
      <family val="2"/>
      <scheme val="minor"/>
    </font>
    <font>
      <b/>
      <sz val="11"/>
      <color theme="1"/>
      <name val="Calibri"/>
      <family val="2"/>
      <scheme val="minor"/>
    </font>
    <font>
      <sz val="11"/>
      <color rgb="FF333333"/>
      <name val="Calibri"/>
      <family val="2"/>
      <scheme val="minor"/>
    </font>
    <font>
      <b/>
      <u/>
      <sz val="11"/>
      <color rgb="FF333333"/>
      <name val="Calibri"/>
      <family val="2"/>
      <scheme val="minor"/>
    </font>
    <font>
      <b/>
      <i/>
      <sz val="11"/>
      <color theme="3"/>
      <name val="Calibri"/>
      <family val="2"/>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thin">
        <color indexed="64"/>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thick">
        <color theme="3"/>
      </left>
      <right/>
      <top style="medium">
        <color theme="3"/>
      </top>
      <bottom/>
      <diagonal/>
    </border>
    <border>
      <left/>
      <right/>
      <top style="medium">
        <color theme="3"/>
      </top>
      <bottom/>
      <diagonal/>
    </border>
    <border>
      <left/>
      <right style="thick">
        <color theme="3"/>
      </right>
      <top style="medium">
        <color theme="3"/>
      </top>
      <bottom/>
      <diagonal/>
    </border>
    <border>
      <left style="thick">
        <color theme="3"/>
      </left>
      <right/>
      <top/>
      <bottom style="medium">
        <color theme="3"/>
      </bottom>
      <diagonal/>
    </border>
    <border>
      <left/>
      <right/>
      <top/>
      <bottom style="medium">
        <color theme="3"/>
      </bottom>
      <diagonal/>
    </border>
    <border>
      <left/>
      <right style="thick">
        <color theme="3"/>
      </right>
      <top/>
      <bottom style="medium">
        <color theme="3"/>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cellStyleXfs>
  <cellXfs count="148">
    <xf numFmtId="0" fontId="0" fillId="0" borderId="0" xfId="0"/>
    <xf numFmtId="0" fontId="0" fillId="2" borderId="3" xfId="0" applyFill="1" applyBorder="1"/>
    <xf numFmtId="0" fontId="5" fillId="2" borderId="2" xfId="0" applyFont="1" applyFill="1" applyBorder="1" applyAlignment="1">
      <alignment vertical="center"/>
    </xf>
    <xf numFmtId="0" fontId="6" fillId="2" borderId="10" xfId="0" applyFont="1" applyFill="1" applyBorder="1" applyAlignment="1">
      <alignment vertical="center"/>
    </xf>
    <xf numFmtId="0" fontId="7" fillId="2" borderId="11" xfId="0" applyFont="1" applyFill="1" applyBorder="1"/>
    <xf numFmtId="0" fontId="6" fillId="2" borderId="5" xfId="0" applyFont="1" applyFill="1" applyBorder="1" applyAlignment="1">
      <alignment vertical="center"/>
    </xf>
    <xf numFmtId="0" fontId="7" fillId="2" borderId="0" xfId="0" applyFont="1" applyFill="1"/>
    <xf numFmtId="0" fontId="0" fillId="2" borderId="0" xfId="0" applyFill="1"/>
    <xf numFmtId="0" fontId="4" fillId="2" borderId="0" xfId="2" applyFont="1" applyFill="1" applyAlignment="1">
      <alignment horizontal="left"/>
    </xf>
    <xf numFmtId="164" fontId="0" fillId="2" borderId="0" xfId="1" applyNumberFormat="1" applyFont="1" applyFill="1"/>
    <xf numFmtId="164" fontId="0" fillId="2" borderId="0" xfId="0" applyNumberFormat="1" applyFill="1"/>
    <xf numFmtId="44" fontId="0" fillId="2" borderId="0" xfId="0" applyNumberFormat="1" applyFill="1"/>
    <xf numFmtId="49" fontId="10" fillId="2" borderId="1" xfId="2" applyNumberFormat="1" applyFont="1" applyFill="1" applyBorder="1" applyAlignment="1">
      <alignment horizontal="center"/>
    </xf>
    <xf numFmtId="0" fontId="10" fillId="2" borderId="0" xfId="2" applyFont="1" applyFill="1" applyAlignment="1">
      <alignment horizontal="left"/>
    </xf>
    <xf numFmtId="164" fontId="10" fillId="2" borderId="1" xfId="1" applyNumberFormat="1" applyFont="1" applyFill="1" applyBorder="1"/>
    <xf numFmtId="0" fontId="10" fillId="2" borderId="0" xfId="0" applyFont="1" applyFill="1"/>
    <xf numFmtId="0" fontId="0" fillId="2" borderId="0" xfId="2" applyFont="1" applyFill="1" applyAlignment="1">
      <alignment horizontal="left" indent="1"/>
    </xf>
    <xf numFmtId="164" fontId="0" fillId="2" borderId="1" xfId="1" applyNumberFormat="1" applyFont="1" applyFill="1" applyBorder="1"/>
    <xf numFmtId="164" fontId="10" fillId="2" borderId="0" xfId="1" applyNumberFormat="1" applyFont="1" applyFill="1"/>
    <xf numFmtId="0" fontId="10" fillId="2" borderId="0" xfId="2" applyFont="1" applyFill="1" applyAlignment="1">
      <alignment horizontal="left" indent="1"/>
    </xf>
    <xf numFmtId="164" fontId="10" fillId="2" borderId="0" xfId="1" applyNumberFormat="1" applyFont="1" applyFill="1" applyBorder="1"/>
    <xf numFmtId="164" fontId="0" fillId="2" borderId="1" xfId="0" applyNumberFormat="1" applyFill="1" applyBorder="1"/>
    <xf numFmtId="164" fontId="10" fillId="2" borderId="0" xfId="0" applyNumberFormat="1" applyFont="1" applyFill="1"/>
    <xf numFmtId="164" fontId="10" fillId="2" borderId="1" xfId="0" applyNumberFormat="1" applyFont="1" applyFill="1" applyBorder="1"/>
    <xf numFmtId="164" fontId="10" fillId="2" borderId="16" xfId="0" applyNumberFormat="1" applyFont="1" applyFill="1" applyBorder="1"/>
    <xf numFmtId="44" fontId="0" fillId="2" borderId="0" xfId="1" applyFont="1" applyFill="1"/>
    <xf numFmtId="0" fontId="0" fillId="2" borderId="18" xfId="0" applyFill="1" applyBorder="1"/>
    <xf numFmtId="0" fontId="0" fillId="2" borderId="19" xfId="0" applyFill="1" applyBorder="1"/>
    <xf numFmtId="0" fontId="0" fillId="2" borderId="21" xfId="0" applyFill="1" applyBorder="1"/>
    <xf numFmtId="0" fontId="4" fillId="2" borderId="0" xfId="2" applyFont="1" applyFill="1" applyAlignment="1">
      <alignment horizontal="left" wrapText="1"/>
    </xf>
    <xf numFmtId="0" fontId="0" fillId="2" borderId="0" xfId="2" applyFont="1" applyFill="1" applyBorder="1" applyAlignment="1">
      <alignment horizontal="left" indent="1"/>
    </xf>
    <xf numFmtId="0" fontId="4" fillId="2" borderId="0" xfId="2" applyFont="1" applyFill="1" applyBorder="1" applyAlignment="1">
      <alignment horizontal="left" wrapText="1"/>
    </xf>
    <xf numFmtId="0" fontId="9" fillId="2" borderId="0" xfId="0" applyFont="1" applyFill="1" applyAlignment="1">
      <alignment horizontal="center" wrapText="1"/>
    </xf>
    <xf numFmtId="0" fontId="12" fillId="2" borderId="0" xfId="2" applyFont="1" applyFill="1" applyAlignment="1">
      <alignment horizontal="left" wrapText="1"/>
    </xf>
    <xf numFmtId="0" fontId="13" fillId="2" borderId="0" xfId="0" applyFont="1" applyFill="1"/>
    <xf numFmtId="49" fontId="14" fillId="2" borderId="1" xfId="2" applyNumberFormat="1" applyFont="1" applyFill="1" applyBorder="1" applyAlignment="1">
      <alignment horizontal="center"/>
    </xf>
    <xf numFmtId="0" fontId="14" fillId="2" borderId="0" xfId="2" applyFont="1" applyFill="1" applyAlignment="1">
      <alignment horizontal="left"/>
    </xf>
    <xf numFmtId="164" fontId="13" fillId="2" borderId="0" xfId="1" applyNumberFormat="1" applyFont="1" applyFill="1"/>
    <xf numFmtId="0" fontId="14" fillId="2" borderId="0" xfId="0" applyFont="1" applyFill="1"/>
    <xf numFmtId="164" fontId="14" fillId="2" borderId="1" xfId="1" applyNumberFormat="1" applyFont="1" applyFill="1" applyBorder="1"/>
    <xf numFmtId="44" fontId="13" fillId="2" borderId="0" xfId="1" applyFont="1" applyFill="1"/>
    <xf numFmtId="0" fontId="13" fillId="2" borderId="0" xfId="2" applyFont="1" applyFill="1" applyBorder="1" applyAlignment="1">
      <alignment horizontal="left" indent="1"/>
    </xf>
    <xf numFmtId="164" fontId="13" fillId="2" borderId="0" xfId="1" applyNumberFormat="1" applyFont="1" applyFill="1" applyBorder="1"/>
    <xf numFmtId="164" fontId="13" fillId="2" borderId="1" xfId="1" applyNumberFormat="1" applyFont="1" applyFill="1" applyBorder="1"/>
    <xf numFmtId="164" fontId="14" fillId="2" borderId="0" xfId="1" applyNumberFormat="1" applyFont="1" applyFill="1" applyBorder="1"/>
    <xf numFmtId="0" fontId="14" fillId="2" borderId="0" xfId="2" applyFont="1" applyFill="1" applyAlignment="1">
      <alignment horizontal="left" indent="1"/>
    </xf>
    <xf numFmtId="164" fontId="13" fillId="2" borderId="0" xfId="0" applyNumberFormat="1" applyFont="1" applyFill="1"/>
    <xf numFmtId="0" fontId="13" fillId="2" borderId="0" xfId="2" applyFont="1" applyFill="1" applyAlignment="1">
      <alignment horizontal="left" indent="1"/>
    </xf>
    <xf numFmtId="164" fontId="13" fillId="2" borderId="1" xfId="0" applyNumberFormat="1" applyFont="1" applyFill="1" applyBorder="1"/>
    <xf numFmtId="164" fontId="14" fillId="2" borderId="0" xfId="0" applyNumberFormat="1" applyFont="1" applyFill="1"/>
    <xf numFmtId="164" fontId="14" fillId="2" borderId="1" xfId="0" applyNumberFormat="1" applyFont="1" applyFill="1" applyBorder="1"/>
    <xf numFmtId="164" fontId="14" fillId="2" borderId="16" xfId="0" applyNumberFormat="1" applyFont="1" applyFill="1" applyBorder="1"/>
    <xf numFmtId="165" fontId="0" fillId="2" borderId="0" xfId="0" applyNumberFormat="1" applyFill="1"/>
    <xf numFmtId="0" fontId="17" fillId="2" borderId="0" xfId="2" applyFont="1" applyFill="1" applyAlignment="1">
      <alignment horizontal="left" wrapText="1"/>
    </xf>
    <xf numFmtId="44" fontId="10" fillId="2" borderId="0" xfId="1" applyFont="1" applyFill="1"/>
    <xf numFmtId="49" fontId="10" fillId="2" borderId="1" xfId="1" applyNumberFormat="1" applyFont="1" applyFill="1" applyBorder="1" applyAlignment="1">
      <alignment horizontal="center"/>
    </xf>
    <xf numFmtId="164" fontId="1" fillId="2" borderId="0" xfId="1" applyNumberFormat="1" applyFont="1" applyFill="1"/>
    <xf numFmtId="164" fontId="1" fillId="2" borderId="1" xfId="1" applyNumberFormat="1" applyFont="1" applyFill="1" applyBorder="1"/>
    <xf numFmtId="164" fontId="13" fillId="0" borderId="1" xfId="0" applyNumberFormat="1" applyFont="1" applyBorder="1"/>
    <xf numFmtId="164" fontId="0" fillId="0" borderId="0" xfId="1" applyNumberFormat="1" applyFont="1" applyFill="1" applyAlignment="1">
      <alignment horizontal="right"/>
    </xf>
    <xf numFmtId="0" fontId="3" fillId="0" borderId="1" xfId="2" applyFont="1" applyFill="1" applyBorder="1" applyAlignment="1">
      <alignment horizontal="center" wrapText="1"/>
    </xf>
    <xf numFmtId="0" fontId="4" fillId="0" borderId="0" xfId="2" applyFont="1" applyFill="1" applyAlignment="1">
      <alignment horizontal="left"/>
    </xf>
    <xf numFmtId="0" fontId="9" fillId="0" borderId="0" xfId="0" applyFont="1" applyAlignment="1">
      <alignment horizontal="center" wrapText="1"/>
    </xf>
    <xf numFmtId="0" fontId="12" fillId="0" borderId="0" xfId="2" applyFont="1" applyFill="1" applyAlignment="1">
      <alignment horizontal="left" wrapText="1"/>
    </xf>
    <xf numFmtId="164" fontId="14" fillId="0" borderId="1" xfId="0" applyNumberFormat="1" applyFont="1" applyBorder="1"/>
    <xf numFmtId="0" fontId="14" fillId="0" borderId="0" xfId="0" applyFont="1"/>
    <xf numFmtId="41" fontId="13" fillId="2" borderId="0" xfId="3" applyNumberFormat="1" applyFont="1" applyFill="1"/>
    <xf numFmtId="41" fontId="10" fillId="2" borderId="1" xfId="3" applyNumberFormat="1" applyFont="1" applyFill="1" applyBorder="1" applyAlignment="1">
      <alignment horizontal="center"/>
    </xf>
    <xf numFmtId="41" fontId="14" fillId="2" borderId="1" xfId="3" applyNumberFormat="1" applyFont="1" applyFill="1" applyBorder="1"/>
    <xf numFmtId="41" fontId="13" fillId="2" borderId="0" xfId="3" applyNumberFormat="1" applyFont="1" applyFill="1" applyBorder="1"/>
    <xf numFmtId="41" fontId="13" fillId="2" borderId="1" xfId="3" applyNumberFormat="1" applyFont="1" applyFill="1" applyBorder="1"/>
    <xf numFmtId="41" fontId="14" fillId="2" borderId="0" xfId="3" applyNumberFormat="1" applyFont="1" applyFill="1" applyBorder="1"/>
    <xf numFmtId="41" fontId="14" fillId="2" borderId="0" xfId="3" applyNumberFormat="1" applyFont="1" applyFill="1"/>
    <xf numFmtId="41" fontId="14" fillId="2" borderId="1" xfId="0" applyNumberFormat="1" applyFont="1" applyFill="1" applyBorder="1"/>
    <xf numFmtId="41" fontId="13" fillId="2" borderId="0" xfId="0" applyNumberFormat="1" applyFont="1" applyFill="1"/>
    <xf numFmtId="41" fontId="13" fillId="2" borderId="1" xfId="0" applyNumberFormat="1" applyFont="1" applyFill="1" applyBorder="1"/>
    <xf numFmtId="41" fontId="14" fillId="2" borderId="1" xfId="1" applyNumberFormat="1" applyFont="1" applyFill="1" applyBorder="1"/>
    <xf numFmtId="41" fontId="13" fillId="2" borderId="25" xfId="3" applyNumberFormat="1" applyFont="1" applyFill="1" applyBorder="1"/>
    <xf numFmtId="41" fontId="14" fillId="2" borderId="16" xfId="3" applyNumberFormat="1" applyFont="1" applyFill="1" applyBorder="1"/>
    <xf numFmtId="41" fontId="0" fillId="2" borderId="0" xfId="3" applyNumberFormat="1" applyFont="1" applyFill="1"/>
    <xf numFmtId="41" fontId="10" fillId="2" borderId="1" xfId="3" applyNumberFormat="1" applyFont="1" applyFill="1" applyBorder="1"/>
    <xf numFmtId="41" fontId="0" fillId="2" borderId="1" xfId="3" applyNumberFormat="1" applyFont="1" applyFill="1" applyBorder="1"/>
    <xf numFmtId="41" fontId="10" fillId="2" borderId="0" xfId="3" applyNumberFormat="1" applyFont="1" applyFill="1"/>
    <xf numFmtId="41" fontId="10" fillId="2" borderId="1" xfId="0" applyNumberFormat="1" applyFont="1" applyFill="1" applyBorder="1"/>
    <xf numFmtId="41" fontId="1" fillId="2" borderId="0" xfId="1" applyNumberFormat="1" applyFont="1" applyFill="1"/>
    <xf numFmtId="41" fontId="10" fillId="2" borderId="0" xfId="3" applyNumberFormat="1" applyFont="1" applyFill="1" applyBorder="1"/>
    <xf numFmtId="41" fontId="10" fillId="2" borderId="1" xfId="1" applyNumberFormat="1" applyFont="1" applyFill="1" applyBorder="1"/>
    <xf numFmtId="41" fontId="0" fillId="2" borderId="25" xfId="3" applyNumberFormat="1" applyFont="1" applyFill="1" applyBorder="1"/>
    <xf numFmtId="41" fontId="10" fillId="2" borderId="16" xfId="3" applyNumberFormat="1" applyFont="1" applyFill="1" applyBorder="1"/>
    <xf numFmtId="41" fontId="1" fillId="2" borderId="1" xfId="3" applyNumberFormat="1" applyFont="1" applyFill="1" applyBorder="1"/>
    <xf numFmtId="43" fontId="0" fillId="2" borderId="0" xfId="3" applyFont="1" applyFill="1"/>
    <xf numFmtId="43" fontId="10" fillId="2" borderId="0" xfId="3" applyFont="1" applyFill="1"/>
    <xf numFmtId="43" fontId="10" fillId="2" borderId="1" xfId="3" applyFont="1" applyFill="1" applyBorder="1"/>
    <xf numFmtId="43" fontId="0" fillId="2" borderId="1" xfId="3" applyFont="1" applyFill="1" applyBorder="1"/>
    <xf numFmtId="43" fontId="0" fillId="2" borderId="25" xfId="3" applyFont="1" applyFill="1" applyBorder="1"/>
    <xf numFmtId="43" fontId="10" fillId="2" borderId="16" xfId="3" applyFont="1" applyFill="1" applyBorder="1"/>
    <xf numFmtId="43" fontId="13" fillId="2" borderId="0" xfId="3" applyFont="1" applyFill="1"/>
    <xf numFmtId="43" fontId="14" fillId="2" borderId="0" xfId="3" applyFont="1" applyFill="1"/>
    <xf numFmtId="43" fontId="14" fillId="2" borderId="1" xfId="3" applyFont="1" applyFill="1" applyBorder="1"/>
    <xf numFmtId="43" fontId="13" fillId="2" borderId="1" xfId="3" applyFont="1" applyFill="1" applyBorder="1"/>
    <xf numFmtId="43" fontId="14" fillId="0" borderId="1" xfId="3" applyFont="1" applyBorder="1"/>
    <xf numFmtId="43" fontId="13" fillId="2" borderId="25" xfId="3" applyFont="1" applyFill="1" applyBorder="1"/>
    <xf numFmtId="43" fontId="14" fillId="2" borderId="16" xfId="3" applyFont="1" applyFill="1" applyBorder="1"/>
    <xf numFmtId="43" fontId="14" fillId="2" borderId="0" xfId="3" applyFont="1" applyFill="1" applyBorder="1"/>
    <xf numFmtId="43" fontId="10" fillId="2" borderId="0" xfId="3" applyFont="1" applyFill="1" applyBorder="1"/>
    <xf numFmtId="43" fontId="1" fillId="2" borderId="0" xfId="3" applyFont="1" applyFill="1"/>
    <xf numFmtId="43" fontId="1" fillId="2" borderId="1" xfId="3" applyFont="1" applyFill="1" applyBorder="1"/>
    <xf numFmtId="43" fontId="3" fillId="0" borderId="1" xfId="3" applyFont="1" applyFill="1" applyBorder="1" applyAlignment="1">
      <alignment horizontal="center" wrapText="1"/>
    </xf>
    <xf numFmtId="43" fontId="3" fillId="0" borderId="1" xfId="3" applyFont="1" applyFill="1" applyBorder="1" applyAlignment="1">
      <alignment horizontal="center"/>
    </xf>
    <xf numFmtId="43" fontId="0" fillId="0" borderId="0" xfId="3" applyFont="1" applyFill="1"/>
    <xf numFmtId="43" fontId="0" fillId="0" borderId="0" xfId="3" applyFont="1"/>
    <xf numFmtId="43" fontId="0" fillId="0" borderId="16" xfId="3" applyFont="1" applyBorder="1"/>
    <xf numFmtId="43" fontId="0" fillId="2" borderId="3" xfId="3" applyFont="1" applyFill="1" applyBorder="1"/>
    <xf numFmtId="43" fontId="0" fillId="2" borderId="4" xfId="3" applyFont="1" applyFill="1" applyBorder="1"/>
    <xf numFmtId="43" fontId="7" fillId="2" borderId="11" xfId="3" applyFont="1" applyFill="1" applyBorder="1"/>
    <xf numFmtId="43" fontId="7" fillId="2" borderId="12" xfId="3" applyFont="1" applyFill="1" applyBorder="1"/>
    <xf numFmtId="43" fontId="7" fillId="2" borderId="0" xfId="3" applyFont="1" applyFill="1"/>
    <xf numFmtId="43" fontId="7" fillId="2" borderId="6" xfId="3" applyFont="1" applyFill="1" applyBorder="1"/>
    <xf numFmtId="43" fontId="10" fillId="2" borderId="0" xfId="3" applyFont="1" applyFill="1" applyAlignment="1">
      <alignment horizontal="center"/>
    </xf>
    <xf numFmtId="43" fontId="14" fillId="2" borderId="0" xfId="3" applyFont="1" applyFill="1" applyAlignment="1">
      <alignment horizontal="center"/>
    </xf>
    <xf numFmtId="43" fontId="10" fillId="2" borderId="1" xfId="3" applyFont="1" applyFill="1" applyBorder="1" applyAlignment="1">
      <alignment horizontal="center"/>
    </xf>
    <xf numFmtId="8" fontId="0" fillId="2" borderId="0" xfId="3" applyNumberFormat="1" applyFont="1" applyFill="1"/>
    <xf numFmtId="44" fontId="10" fillId="2" borderId="0" xfId="0" applyNumberFormat="1" applyFont="1" applyFill="1"/>
    <xf numFmtId="0" fontId="3" fillId="2" borderId="1" xfId="2" applyFont="1" applyFill="1" applyBorder="1" applyAlignment="1">
      <alignment horizontal="center"/>
    </xf>
    <xf numFmtId="0" fontId="8" fillId="2" borderId="13" xfId="0" applyFont="1" applyFill="1" applyBorder="1" applyAlignment="1">
      <alignment vertical="center" wrapText="1"/>
    </xf>
    <xf numFmtId="0" fontId="8" fillId="2" borderId="14" xfId="0" applyFont="1" applyFill="1" applyBorder="1" applyAlignment="1">
      <alignment vertical="center" wrapText="1"/>
    </xf>
    <xf numFmtId="0" fontId="8" fillId="2" borderId="15" xfId="0" applyFont="1" applyFill="1" applyBorder="1" applyAlignment="1">
      <alignment vertical="center" wrapText="1"/>
    </xf>
    <xf numFmtId="0" fontId="8" fillId="2" borderId="7" xfId="0" applyFont="1" applyFill="1" applyBorder="1" applyAlignment="1">
      <alignment vertical="center" wrapText="1"/>
    </xf>
    <xf numFmtId="0" fontId="8" fillId="2" borderId="8" xfId="0" applyFont="1" applyFill="1" applyBorder="1" applyAlignment="1">
      <alignment vertical="center" wrapText="1"/>
    </xf>
    <xf numFmtId="0" fontId="8" fillId="2" borderId="9" xfId="0" applyFont="1" applyFill="1" applyBorder="1" applyAlignment="1">
      <alignment vertical="center" wrapText="1"/>
    </xf>
    <xf numFmtId="0" fontId="10" fillId="2" borderId="0" xfId="2" applyFont="1" applyFill="1" applyBorder="1" applyAlignment="1">
      <alignment horizontal="center"/>
    </xf>
    <xf numFmtId="0" fontId="0" fillId="2" borderId="17" xfId="0" applyFill="1" applyBorder="1" applyAlignment="1">
      <alignment vertical="center"/>
    </xf>
    <xf numFmtId="0" fontId="0" fillId="2" borderId="18" xfId="0" applyFill="1" applyBorder="1" applyAlignment="1">
      <alignment vertical="center"/>
    </xf>
    <xf numFmtId="0" fontId="11" fillId="2" borderId="20" xfId="0" applyFont="1" applyFill="1" applyBorder="1" applyAlignment="1">
      <alignment vertical="center"/>
    </xf>
    <xf numFmtId="0" fontId="11" fillId="2" borderId="0" xfId="0" applyFont="1" applyFill="1" applyAlignment="1">
      <alignment vertical="center"/>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0" fillId="2" borderId="24" xfId="0" applyFill="1" applyBorder="1" applyAlignment="1">
      <alignment horizontal="left" vertical="top" wrapText="1"/>
    </xf>
    <xf numFmtId="0" fontId="15" fillId="2" borderId="17" xfId="0" applyFont="1" applyFill="1" applyBorder="1" applyAlignment="1">
      <alignment vertical="center"/>
    </xf>
    <xf numFmtId="0" fontId="15" fillId="2" borderId="18" xfId="0" applyFont="1" applyFill="1" applyBorder="1" applyAlignment="1">
      <alignment vertical="center"/>
    </xf>
    <xf numFmtId="0" fontId="15" fillId="2" borderId="19" xfId="0" applyFont="1" applyFill="1" applyBorder="1" applyAlignment="1">
      <alignment vertical="center"/>
    </xf>
    <xf numFmtId="0" fontId="16" fillId="2" borderId="20" xfId="0" applyFont="1" applyFill="1" applyBorder="1" applyAlignment="1">
      <alignment vertical="center"/>
    </xf>
    <xf numFmtId="0" fontId="16" fillId="2" borderId="0" xfId="0" applyFont="1" applyFill="1" applyAlignment="1">
      <alignment vertical="center"/>
    </xf>
    <xf numFmtId="0" fontId="16" fillId="2" borderId="21" xfId="0" applyFont="1" applyFill="1" applyBorder="1" applyAlignment="1">
      <alignment vertical="center"/>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4" fillId="2" borderId="0" xfId="2" applyFont="1" applyFill="1" applyBorder="1" applyAlignment="1">
      <alignment horizontal="center"/>
    </xf>
  </cellXfs>
  <cellStyles count="4">
    <cellStyle name="Comma" xfId="3" builtinId="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A3DB0-5BE8-4698-9A9A-6AA2470AB583}">
  <sheetPr>
    <pageSetUpPr fitToPage="1"/>
  </sheetPr>
  <dimension ref="A1:L21"/>
  <sheetViews>
    <sheetView zoomScale="96" zoomScaleNormal="96" workbookViewId="0">
      <selection activeCell="B10" sqref="B10"/>
    </sheetView>
  </sheetViews>
  <sheetFormatPr defaultColWidth="8.81640625" defaultRowHeight="14.5"/>
  <cols>
    <col min="1" max="1" width="4.54296875" style="7" customWidth="1"/>
    <col min="2" max="2" width="56.453125" style="7" bestFit="1" customWidth="1"/>
    <col min="3" max="3" width="17.54296875" style="7" bestFit="1" customWidth="1"/>
    <col min="4" max="4" width="19.54296875" style="90" customWidth="1"/>
    <col min="5" max="5" width="18.54296875" style="90" bestFit="1" customWidth="1"/>
    <col min="6" max="16384" width="8.81640625" style="7"/>
  </cols>
  <sheetData>
    <row r="1" spans="1:12">
      <c r="B1" s="53" t="s">
        <v>0</v>
      </c>
      <c r="C1" s="123" t="s">
        <v>104</v>
      </c>
      <c r="D1" s="123"/>
      <c r="E1" s="123"/>
    </row>
    <row r="2" spans="1:12" ht="39.5">
      <c r="C2" s="60" t="s">
        <v>44</v>
      </c>
      <c r="D2" s="107" t="s">
        <v>45</v>
      </c>
      <c r="E2" s="108" t="s">
        <v>16</v>
      </c>
      <c r="G2" s="32"/>
      <c r="H2" s="32"/>
      <c r="I2" s="32"/>
      <c r="J2" s="32"/>
      <c r="K2" s="32"/>
      <c r="L2" s="32"/>
    </row>
    <row r="3" spans="1:12">
      <c r="A3"/>
      <c r="B3" s="61" t="s">
        <v>1</v>
      </c>
      <c r="C3" s="59" t="s">
        <v>18</v>
      </c>
      <c r="D3" s="109">
        <v>13863283177.82</v>
      </c>
      <c r="E3" s="109">
        <v>13875333027.469997</v>
      </c>
      <c r="G3" s="32"/>
      <c r="H3" s="32"/>
      <c r="I3" s="32"/>
      <c r="J3" s="32"/>
      <c r="K3" s="32"/>
      <c r="L3" s="32"/>
    </row>
    <row r="4" spans="1:12" customFormat="1">
      <c r="B4" s="61" t="s">
        <v>2</v>
      </c>
      <c r="C4" s="59" t="s">
        <v>9</v>
      </c>
      <c r="D4" s="109">
        <v>15695526444.219999</v>
      </c>
      <c r="E4" s="109">
        <v>13519180157.280001</v>
      </c>
      <c r="G4" s="62"/>
      <c r="H4" s="62"/>
      <c r="I4" s="62"/>
      <c r="J4" s="62"/>
      <c r="K4" s="62"/>
      <c r="L4" s="62"/>
    </row>
    <row r="5" spans="1:12" customFormat="1">
      <c r="B5" s="61" t="s">
        <v>4</v>
      </c>
      <c r="C5" s="59" t="s">
        <v>11</v>
      </c>
      <c r="D5" s="109">
        <v>2445454494.6300001</v>
      </c>
      <c r="E5" s="109">
        <v>2444486773.5700002</v>
      </c>
      <c r="G5" s="62"/>
      <c r="H5" s="62"/>
      <c r="I5" s="62"/>
      <c r="J5" s="62"/>
      <c r="K5" s="62"/>
      <c r="L5" s="62"/>
    </row>
    <row r="6" spans="1:12" customFormat="1">
      <c r="B6" s="61" t="s">
        <v>5</v>
      </c>
      <c r="C6" s="59" t="s">
        <v>74</v>
      </c>
      <c r="D6" s="110">
        <v>4484541251.9200001</v>
      </c>
      <c r="E6" s="110">
        <v>4374218806.4499998</v>
      </c>
      <c r="G6" s="62"/>
      <c r="H6" s="62"/>
      <c r="I6" s="62"/>
      <c r="J6" s="62"/>
      <c r="K6" s="62"/>
      <c r="L6" s="62"/>
    </row>
    <row r="7" spans="1:12" customFormat="1">
      <c r="B7" s="61" t="s">
        <v>6</v>
      </c>
      <c r="C7" s="59" t="s">
        <v>12</v>
      </c>
      <c r="D7" s="110">
        <v>546359622.66999996</v>
      </c>
      <c r="E7" s="110">
        <v>533035852.42000002</v>
      </c>
      <c r="G7" s="62"/>
      <c r="H7" s="62"/>
      <c r="I7" s="62"/>
      <c r="J7" s="62"/>
      <c r="K7" s="62"/>
      <c r="L7" s="62"/>
    </row>
    <row r="8" spans="1:12" customFormat="1">
      <c r="B8" s="61" t="s">
        <v>8</v>
      </c>
      <c r="C8" s="59" t="s">
        <v>64</v>
      </c>
      <c r="D8" s="110">
        <v>1442675517</v>
      </c>
      <c r="E8" s="110">
        <v>1432657502.21</v>
      </c>
      <c r="G8" s="62"/>
      <c r="H8" s="62"/>
      <c r="I8" s="62"/>
      <c r="J8" s="62"/>
      <c r="K8" s="62"/>
      <c r="L8" s="62"/>
    </row>
    <row r="9" spans="1:12" customFormat="1">
      <c r="B9" s="61" t="s">
        <v>46</v>
      </c>
      <c r="C9" s="59" t="s">
        <v>47</v>
      </c>
      <c r="D9" s="110">
        <f>'Funds Received - Monthly'!N29</f>
        <v>250000000</v>
      </c>
      <c r="E9" s="110">
        <v>249999998.84999999</v>
      </c>
      <c r="G9" s="62"/>
      <c r="H9" s="62"/>
      <c r="I9" s="62"/>
      <c r="J9" s="62"/>
      <c r="K9" s="62"/>
      <c r="L9" s="62"/>
    </row>
    <row r="10" spans="1:12" customFormat="1">
      <c r="B10" s="61" t="s">
        <v>3</v>
      </c>
      <c r="C10" s="59" t="s">
        <v>10</v>
      </c>
      <c r="D10" s="109">
        <v>5142536009.1400003</v>
      </c>
      <c r="E10" s="109">
        <v>5142535984.75</v>
      </c>
      <c r="G10" s="62"/>
      <c r="H10" s="62"/>
      <c r="I10" s="62"/>
      <c r="J10" s="62"/>
      <c r="K10" s="62"/>
      <c r="L10" s="62"/>
    </row>
    <row r="11" spans="1:12" customFormat="1">
      <c r="B11" s="61" t="s">
        <v>7</v>
      </c>
      <c r="C11" s="59" t="s">
        <v>17</v>
      </c>
      <c r="D11" s="110">
        <f>'Funds Received - Monthly'!N36</f>
        <v>2100000000</v>
      </c>
      <c r="E11" s="110">
        <v>2097184103.7099998</v>
      </c>
    </row>
    <row r="12" spans="1:12" customFormat="1" ht="15" thickBot="1">
      <c r="D12" s="111">
        <f>SUM(D3:D11)</f>
        <v>45970376517.400002</v>
      </c>
      <c r="E12" s="111">
        <f>SUM(E3:E11)</f>
        <v>43668632206.709999</v>
      </c>
    </row>
    <row r="13" spans="1:12" ht="15.5" thickTop="1" thickBot="1">
      <c r="B13" s="8"/>
    </row>
    <row r="14" spans="1:12" ht="18.5" thickTop="1" thickBot="1">
      <c r="B14" s="2" t="s">
        <v>13</v>
      </c>
      <c r="C14" s="1"/>
      <c r="D14" s="112"/>
      <c r="E14" s="113"/>
    </row>
    <row r="15" spans="1:12">
      <c r="B15" s="3" t="s">
        <v>14</v>
      </c>
      <c r="C15" s="4"/>
      <c r="D15" s="114"/>
      <c r="E15" s="115"/>
    </row>
    <row r="16" spans="1:12" ht="57.65" customHeight="1" thickBot="1">
      <c r="B16" s="124" t="s">
        <v>20</v>
      </c>
      <c r="C16" s="125"/>
      <c r="D16" s="125"/>
      <c r="E16" s="126"/>
    </row>
    <row r="17" spans="2:5">
      <c r="B17" s="3" t="s">
        <v>15</v>
      </c>
      <c r="C17" s="4"/>
      <c r="D17" s="114"/>
      <c r="E17" s="115"/>
    </row>
    <row r="18" spans="2:5" ht="118.5" customHeight="1" thickBot="1">
      <c r="B18" s="124" t="s">
        <v>57</v>
      </c>
      <c r="C18" s="125"/>
      <c r="D18" s="125"/>
      <c r="E18" s="126"/>
    </row>
    <row r="19" spans="2:5">
      <c r="B19" s="5" t="s">
        <v>16</v>
      </c>
      <c r="C19" s="6"/>
      <c r="D19" s="116"/>
      <c r="E19" s="117"/>
    </row>
    <row r="20" spans="2:5" ht="99" customHeight="1" thickBot="1">
      <c r="B20" s="127" t="s">
        <v>21</v>
      </c>
      <c r="C20" s="128"/>
      <c r="D20" s="128"/>
      <c r="E20" s="129"/>
    </row>
    <row r="21" spans="2:5" ht="15" thickTop="1"/>
  </sheetData>
  <mergeCells count="4">
    <mergeCell ref="C1:E1"/>
    <mergeCell ref="B16:E16"/>
    <mergeCell ref="B18:E18"/>
    <mergeCell ref="B20:E20"/>
  </mergeCells>
  <pageMargins left="0.25" right="0.25" top="0.75" bottom="0.75" header="0.3" footer="0.3"/>
  <pageSetup scale="93"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38A81-0C83-426A-9043-2890D9C3B670}">
  <sheetPr>
    <pageSetUpPr fitToPage="1"/>
  </sheetPr>
  <dimension ref="B1:AY43"/>
  <sheetViews>
    <sheetView zoomScale="80" zoomScaleNormal="80" workbookViewId="0">
      <pane xSplit="2" ySplit="2" topLeftCell="AI3" activePane="bottomRight" state="frozen"/>
      <selection pane="topRight" activeCell="C1" sqref="C1"/>
      <selection pane="bottomLeft" activeCell="A3" sqref="A3"/>
      <selection pane="bottomRight" activeCell="AX4" sqref="AX4"/>
    </sheetView>
  </sheetViews>
  <sheetFormatPr defaultColWidth="8.81640625" defaultRowHeight="14.5"/>
  <cols>
    <col min="1" max="1" width="1.81640625" style="7" customWidth="1"/>
    <col min="2" max="2" width="55.453125" style="7" bestFit="1" customWidth="1"/>
    <col min="3" max="3" width="23" style="7" hidden="1" customWidth="1"/>
    <col min="4" max="4" width="22.54296875" style="7" hidden="1" customWidth="1"/>
    <col min="5" max="5" width="23.453125" style="7" hidden="1" customWidth="1"/>
    <col min="6" max="6" width="22.54296875" style="25" hidden="1" customWidth="1"/>
    <col min="7" max="8" width="23.453125" style="7" hidden="1" customWidth="1"/>
    <col min="9" max="9" width="23.453125" style="7" bestFit="1" customWidth="1"/>
    <col min="10" max="10" width="23.453125" style="7" hidden="1" customWidth="1"/>
    <col min="11" max="11" width="22.54296875" style="7" hidden="1" customWidth="1"/>
    <col min="12" max="12" width="23.453125" style="7" bestFit="1" customWidth="1"/>
    <col min="13" max="13" width="23" style="7" hidden="1" customWidth="1"/>
    <col min="14" max="14" width="23.453125" style="7" hidden="1" customWidth="1"/>
    <col min="15" max="15" width="23.453125" style="7" bestFit="1" customWidth="1"/>
    <col min="16" max="17" width="23.453125" style="7" hidden="1" customWidth="1"/>
    <col min="18" max="18" width="23.453125" style="7" bestFit="1" customWidth="1"/>
    <col min="19" max="20" width="23.453125" style="7" hidden="1" customWidth="1"/>
    <col min="21" max="21" width="23.453125" style="7" bestFit="1" customWidth="1"/>
    <col min="22" max="22" width="23.453125" style="7" hidden="1" customWidth="1"/>
    <col min="23" max="23" width="20.1796875" style="25" hidden="1" customWidth="1"/>
    <col min="24" max="24" width="20.1796875" style="25" bestFit="1" customWidth="1"/>
    <col min="25" max="26" width="20.1796875" style="25" hidden="1" customWidth="1"/>
    <col min="27" max="27" width="20.1796875" style="25" bestFit="1" customWidth="1"/>
    <col min="28" max="29" width="20.1796875" style="25" hidden="1" customWidth="1"/>
    <col min="30" max="30" width="17.26953125" style="7" bestFit="1" customWidth="1"/>
    <col min="31" max="32" width="17.26953125" style="7" hidden="1" customWidth="1"/>
    <col min="33" max="35" width="17.26953125" style="7" customWidth="1"/>
    <col min="36" max="36" width="17.26953125" style="7" hidden="1" customWidth="1"/>
    <col min="37" max="37" width="18.26953125" style="79" hidden="1" customWidth="1"/>
    <col min="38" max="38" width="18.26953125" style="79" bestFit="1" customWidth="1"/>
    <col min="39" max="40" width="19.1796875" style="90" hidden="1" customWidth="1"/>
    <col min="41" max="41" width="19.1796875" style="90" bestFit="1" customWidth="1"/>
    <col min="42" max="43" width="19.1796875" style="90" hidden="1" customWidth="1"/>
    <col min="44" max="44" width="19.1796875" style="90" bestFit="1" customWidth="1"/>
    <col min="45" max="46" width="19.1796875" style="90" hidden="1" customWidth="1"/>
    <col min="47" max="48" width="19.1796875" style="90" bestFit="1" customWidth="1"/>
    <col min="49" max="50" width="22.1796875" style="90" customWidth="1"/>
    <col min="51" max="51" width="17" style="7" bestFit="1" customWidth="1"/>
    <col min="52" max="16384" width="8.81640625" style="7"/>
  </cols>
  <sheetData>
    <row r="1" spans="2:50">
      <c r="B1" s="53" t="s">
        <v>0</v>
      </c>
      <c r="C1" s="130" t="s">
        <v>31</v>
      </c>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row>
    <row r="2" spans="2:50" ht="41.5" customHeight="1">
      <c r="C2" s="12" t="s">
        <v>30</v>
      </c>
      <c r="D2" s="12" t="s">
        <v>29</v>
      </c>
      <c r="E2" s="12" t="s">
        <v>28</v>
      </c>
      <c r="F2" s="12" t="s">
        <v>27</v>
      </c>
      <c r="G2" s="12" t="s">
        <v>26</v>
      </c>
      <c r="H2" s="12" t="s">
        <v>25</v>
      </c>
      <c r="I2" s="12" t="s">
        <v>35</v>
      </c>
      <c r="J2" s="12" t="s">
        <v>24</v>
      </c>
      <c r="K2" s="12" t="s">
        <v>23</v>
      </c>
      <c r="L2" s="12" t="s">
        <v>22</v>
      </c>
      <c r="M2" s="12" t="s">
        <v>51</v>
      </c>
      <c r="N2" s="12" t="s">
        <v>52</v>
      </c>
      <c r="O2" s="12" t="s">
        <v>65</v>
      </c>
      <c r="P2" s="12" t="s">
        <v>66</v>
      </c>
      <c r="Q2" s="12" t="s">
        <v>67</v>
      </c>
      <c r="R2" s="12" t="s">
        <v>68</v>
      </c>
      <c r="S2" s="12" t="s">
        <v>69</v>
      </c>
      <c r="T2" s="12" t="s">
        <v>70</v>
      </c>
      <c r="U2" s="12" t="s">
        <v>71</v>
      </c>
      <c r="V2" s="12" t="s">
        <v>72</v>
      </c>
      <c r="W2" s="55" t="s">
        <v>73</v>
      </c>
      <c r="X2" s="55" t="s">
        <v>75</v>
      </c>
      <c r="Y2" s="55" t="s">
        <v>76</v>
      </c>
      <c r="Z2" s="55" t="s">
        <v>77</v>
      </c>
      <c r="AA2" s="55" t="s">
        <v>78</v>
      </c>
      <c r="AB2" s="55" t="s">
        <v>79</v>
      </c>
      <c r="AC2" s="55" t="s">
        <v>80</v>
      </c>
      <c r="AD2" s="55" t="s">
        <v>82</v>
      </c>
      <c r="AE2" s="55" t="s">
        <v>83</v>
      </c>
      <c r="AF2" s="55" t="s">
        <v>84</v>
      </c>
      <c r="AG2" s="55" t="s">
        <v>85</v>
      </c>
      <c r="AH2" s="55" t="s">
        <v>86</v>
      </c>
      <c r="AI2" s="55" t="s">
        <v>87</v>
      </c>
      <c r="AJ2" s="55" t="s">
        <v>88</v>
      </c>
      <c r="AK2" s="67" t="s">
        <v>89</v>
      </c>
      <c r="AL2" s="55" t="s">
        <v>90</v>
      </c>
      <c r="AM2" s="118" t="s">
        <v>91</v>
      </c>
      <c r="AN2" s="55" t="s">
        <v>92</v>
      </c>
      <c r="AO2" s="55" t="s">
        <v>93</v>
      </c>
      <c r="AP2" s="120" t="s">
        <v>94</v>
      </c>
      <c r="AQ2" s="55" t="s">
        <v>95</v>
      </c>
      <c r="AR2" s="55" t="s">
        <v>96</v>
      </c>
      <c r="AS2" s="55" t="s">
        <v>97</v>
      </c>
      <c r="AT2" s="55" t="s">
        <v>100</v>
      </c>
      <c r="AU2" s="55" t="s">
        <v>101</v>
      </c>
      <c r="AV2" s="55" t="s">
        <v>102</v>
      </c>
      <c r="AW2" s="55" t="s">
        <v>103</v>
      </c>
      <c r="AX2" s="55" t="s">
        <v>105</v>
      </c>
    </row>
    <row r="3" spans="2:50" ht="15.65" customHeight="1">
      <c r="B3" s="13"/>
      <c r="C3" s="9"/>
      <c r="D3" s="9"/>
      <c r="E3" s="9"/>
      <c r="F3" s="9"/>
      <c r="G3" s="9"/>
      <c r="H3" s="9"/>
      <c r="I3" s="9"/>
      <c r="J3" s="9"/>
      <c r="K3" s="9"/>
      <c r="L3" s="9"/>
      <c r="M3" s="9"/>
      <c r="N3" s="9"/>
      <c r="O3" s="9"/>
      <c r="P3" s="9"/>
      <c r="Q3" s="9"/>
      <c r="R3" s="9"/>
      <c r="S3" s="9"/>
      <c r="T3" s="9"/>
      <c r="U3" s="9"/>
      <c r="V3" s="9"/>
      <c r="AD3" s="25"/>
      <c r="AE3" s="25"/>
    </row>
    <row r="4" spans="2:50" s="15" customFormat="1" ht="29">
      <c r="B4" s="29" t="s">
        <v>55</v>
      </c>
      <c r="C4" s="14">
        <v>924541007.49000001</v>
      </c>
      <c r="D4" s="14">
        <v>1024622380.349999</v>
      </c>
      <c r="E4" s="14">
        <v>1127424455.3</v>
      </c>
      <c r="F4" s="14">
        <v>1429863176.0699992</v>
      </c>
      <c r="G4" s="14">
        <v>1546927202.809999</v>
      </c>
      <c r="H4" s="14">
        <v>1646497289.4099989</v>
      </c>
      <c r="I4" s="14">
        <v>1996514007.8799992</v>
      </c>
      <c r="J4" s="14">
        <v>2202743359.6899991</v>
      </c>
      <c r="K4" s="14">
        <v>2325774734.5100002</v>
      </c>
      <c r="L4" s="14">
        <v>2487482564.3099999</v>
      </c>
      <c r="M4" s="14">
        <v>2577675277.5799999</v>
      </c>
      <c r="N4" s="14">
        <v>2710819896.7600002</v>
      </c>
      <c r="O4" s="14">
        <v>2796993893.8099999</v>
      </c>
      <c r="P4" s="14">
        <v>2900862046.79</v>
      </c>
      <c r="Q4" s="14">
        <v>3016329435.0699997</v>
      </c>
      <c r="R4" s="14">
        <v>3197843875.71</v>
      </c>
      <c r="S4" s="14">
        <v>5668824709.8099995</v>
      </c>
      <c r="T4" s="14">
        <v>5801243749.3299999</v>
      </c>
      <c r="U4" s="14">
        <v>6092199670.25</v>
      </c>
      <c r="V4" s="14">
        <v>6233071165.8500004</v>
      </c>
      <c r="W4" s="14">
        <v>6471953357.3400002</v>
      </c>
      <c r="X4" s="14">
        <v>6617367688.8999996</v>
      </c>
      <c r="Y4" s="14">
        <v>6728810095.6100006</v>
      </c>
      <c r="Z4" s="14">
        <v>6939927258.96</v>
      </c>
      <c r="AA4" s="14">
        <v>7040449099.0100002</v>
      </c>
      <c r="AB4" s="14">
        <v>7275789080.5699997</v>
      </c>
      <c r="AC4" s="14">
        <v>7936169117.0699997</v>
      </c>
      <c r="AD4" s="14">
        <v>9544330306.1000004</v>
      </c>
      <c r="AE4" s="14">
        <v>9740845637.8899994</v>
      </c>
      <c r="AF4" s="14">
        <v>9802810107.7400017</v>
      </c>
      <c r="AG4" s="14">
        <v>10058426530.51</v>
      </c>
      <c r="AH4" s="14">
        <v>10400997519.73</v>
      </c>
      <c r="AI4" s="14">
        <v>13059547528.470001</v>
      </c>
      <c r="AJ4" s="14">
        <v>13173941565.119999</v>
      </c>
      <c r="AK4" s="80">
        <v>13357836141.280001</v>
      </c>
      <c r="AL4" s="80">
        <v>13684108878.389999</v>
      </c>
      <c r="AM4" s="92">
        <v>13856044640.209999</v>
      </c>
      <c r="AN4" s="92">
        <v>13861902380.290001</v>
      </c>
      <c r="AO4" s="92">
        <v>13862350693.290001</v>
      </c>
      <c r="AP4" s="92">
        <v>13862350693.290001</v>
      </c>
      <c r="AQ4" s="92">
        <v>13862350693.290001</v>
      </c>
      <c r="AR4" s="92">
        <v>13862350693.290001</v>
      </c>
      <c r="AS4" s="92">
        <v>13862350693.290001</v>
      </c>
      <c r="AT4" s="92">
        <v>13862350693.290001</v>
      </c>
      <c r="AU4" s="92">
        <v>13862350693.290001</v>
      </c>
      <c r="AV4" s="92">
        <v>13862350693.290001</v>
      </c>
      <c r="AW4" s="92">
        <v>13863200995.790001</v>
      </c>
      <c r="AX4" s="92">
        <v>13863283177.82</v>
      </c>
    </row>
    <row r="5" spans="2:50">
      <c r="B5" s="13"/>
      <c r="C5" s="9"/>
      <c r="D5" s="9"/>
      <c r="E5" s="9"/>
      <c r="F5" s="9"/>
      <c r="G5" s="9"/>
      <c r="H5" s="9"/>
      <c r="I5" s="9"/>
      <c r="J5" s="9"/>
      <c r="K5" s="9"/>
      <c r="L5" s="9"/>
      <c r="M5" s="9"/>
      <c r="N5" s="9"/>
      <c r="O5" s="9"/>
      <c r="P5" s="9"/>
      <c r="Q5" s="9"/>
      <c r="R5" s="9"/>
      <c r="S5" s="9"/>
      <c r="T5" s="9"/>
      <c r="U5" s="9"/>
      <c r="V5" s="9"/>
      <c r="AD5" s="25"/>
      <c r="AE5" s="25"/>
      <c r="AF5" s="25"/>
      <c r="AG5" s="25"/>
      <c r="AH5" s="25"/>
      <c r="AI5" s="25"/>
      <c r="AJ5" s="25"/>
    </row>
    <row r="6" spans="2:50">
      <c r="B6" s="29" t="s">
        <v>2</v>
      </c>
      <c r="F6" s="7"/>
      <c r="AD6" s="25"/>
      <c r="AE6" s="25"/>
      <c r="AF6" s="25"/>
      <c r="AG6" s="25"/>
      <c r="AH6" s="25"/>
      <c r="AI6" s="25"/>
      <c r="AJ6" s="25"/>
    </row>
    <row r="7" spans="2:50" ht="15" customHeight="1">
      <c r="B7" s="16" t="s">
        <v>34</v>
      </c>
      <c r="C7" s="9">
        <v>13132106036</v>
      </c>
      <c r="D7" s="9">
        <v>13132106036</v>
      </c>
      <c r="E7" s="9">
        <v>13132106036</v>
      </c>
      <c r="F7" s="9">
        <v>13132106036</v>
      </c>
      <c r="G7" s="9">
        <v>13132106036</v>
      </c>
      <c r="H7" s="9">
        <v>13132106036</v>
      </c>
      <c r="I7" s="9">
        <v>13132106036</v>
      </c>
      <c r="J7" s="9">
        <f>13132106036-34366.55</f>
        <v>13132071669.450001</v>
      </c>
      <c r="K7" s="9">
        <f t="shared" ref="K7" si="0">13132106036-34366.55</f>
        <v>13132071669.450001</v>
      </c>
      <c r="L7" s="9">
        <f>13132106036-34366.55+387124447</f>
        <v>13519196116.450001</v>
      </c>
      <c r="M7" s="9">
        <f t="shared" ref="M7:U7" si="1">13132106036-34366.55+387124447</f>
        <v>13519196116.450001</v>
      </c>
      <c r="N7" s="9">
        <f t="shared" si="1"/>
        <v>13519196116.450001</v>
      </c>
      <c r="O7" s="9">
        <f t="shared" si="1"/>
        <v>13519196116.450001</v>
      </c>
      <c r="P7" s="9">
        <f t="shared" si="1"/>
        <v>13519196116.450001</v>
      </c>
      <c r="Q7" s="9">
        <f t="shared" si="1"/>
        <v>13519196116.450001</v>
      </c>
      <c r="R7" s="9">
        <f t="shared" si="1"/>
        <v>13519196116.450001</v>
      </c>
      <c r="S7" s="9">
        <f t="shared" si="1"/>
        <v>13519196116.450001</v>
      </c>
      <c r="T7" s="9">
        <f t="shared" si="1"/>
        <v>13519196116.450001</v>
      </c>
      <c r="U7" s="9">
        <f t="shared" si="1"/>
        <v>13519196116.450001</v>
      </c>
      <c r="V7" s="9">
        <v>13519161749.9</v>
      </c>
      <c r="W7" s="9">
        <v>13519161749.9</v>
      </c>
      <c r="X7" s="9">
        <v>13519161749.9</v>
      </c>
      <c r="Y7" s="9">
        <v>13519161749.9</v>
      </c>
      <c r="Z7" s="9">
        <v>13519161749.9</v>
      </c>
      <c r="AA7" s="9">
        <v>13519161749.9</v>
      </c>
      <c r="AB7" s="9">
        <v>13519161749.9</v>
      </c>
      <c r="AC7" s="9">
        <v>13519161749.9</v>
      </c>
      <c r="AD7" s="9">
        <v>13519161749.9</v>
      </c>
      <c r="AE7" s="9">
        <v>13519161749.9</v>
      </c>
      <c r="AF7" s="9">
        <v>13519269749.57</v>
      </c>
      <c r="AG7" s="9">
        <v>13519161749.9</v>
      </c>
      <c r="AH7" s="9">
        <v>13519161749.9</v>
      </c>
      <c r="AI7" s="9">
        <v>13519161749.9</v>
      </c>
      <c r="AJ7" s="9">
        <v>13519161749.9</v>
      </c>
      <c r="AK7" s="79">
        <v>13519122483.33</v>
      </c>
      <c r="AL7" s="79">
        <v>13519161749.900002</v>
      </c>
      <c r="AM7" s="90">
        <v>13519122483.33</v>
      </c>
      <c r="AN7" s="90">
        <v>13519122483.33</v>
      </c>
      <c r="AO7" s="90">
        <v>13729473258.91</v>
      </c>
      <c r="AP7" s="121">
        <v>13519122483.33</v>
      </c>
      <c r="AQ7" s="90">
        <v>13519122483.33</v>
      </c>
      <c r="AR7" s="90">
        <v>13519122483.33</v>
      </c>
      <c r="AS7" s="90">
        <v>13519122483.33</v>
      </c>
      <c r="AT7" s="90">
        <v>13519122483.33</v>
      </c>
      <c r="AU7" s="90">
        <v>13519122483.33</v>
      </c>
      <c r="AV7" s="90">
        <v>13519122483.33</v>
      </c>
      <c r="AW7" s="90">
        <v>13519122483.33</v>
      </c>
      <c r="AX7" s="90">
        <v>13519122483.33</v>
      </c>
    </row>
    <row r="8" spans="2:50" ht="15" customHeight="1">
      <c r="B8" s="30" t="s">
        <v>32</v>
      </c>
      <c r="C8" s="17">
        <v>1839478.25</v>
      </c>
      <c r="D8" s="17">
        <f>C8+549783.09</f>
        <v>2389261.34</v>
      </c>
      <c r="E8" s="17">
        <f>D8+601342.69</f>
        <v>2990604.03</v>
      </c>
      <c r="F8" s="17">
        <f>E8+656217.3</f>
        <v>3646821.33</v>
      </c>
      <c r="G8" s="17">
        <f>F8+841718.27</f>
        <v>4488539.5999999996</v>
      </c>
      <c r="H8" s="17">
        <f>G8+1040972.87</f>
        <v>5529512.4699999997</v>
      </c>
      <c r="I8" s="17">
        <f>H8+1269091.94</f>
        <v>6798604.4100000001</v>
      </c>
      <c r="J8" s="17">
        <f>I8+2182041.36</f>
        <v>8980645.7699999996</v>
      </c>
      <c r="K8" s="17">
        <f>J8+4146747.51</f>
        <v>13127393.279999999</v>
      </c>
      <c r="L8" s="17">
        <f>K8+7912534.87</f>
        <v>21039928.149999999</v>
      </c>
      <c r="M8" s="17">
        <f>L8+10971046.6</f>
        <v>32010974.75</v>
      </c>
      <c r="N8" s="17">
        <f>M8+15459752.01</f>
        <v>47470726.759999998</v>
      </c>
      <c r="O8" s="17">
        <f>N8+19978304.4</f>
        <v>67449031.159999996</v>
      </c>
      <c r="P8" s="17">
        <f>O8+24655942.47</f>
        <v>92104973.629999995</v>
      </c>
      <c r="Q8" s="17">
        <v>123925694.16</v>
      </c>
      <c r="R8" s="17">
        <v>161010484.19999999</v>
      </c>
      <c r="S8" s="17">
        <v>204941325.91</v>
      </c>
      <c r="T8" s="17">
        <v>252695726.82999998</v>
      </c>
      <c r="U8" s="17">
        <v>297394025.63999999</v>
      </c>
      <c r="V8" s="17">
        <v>348848977.50999999</v>
      </c>
      <c r="W8" s="17">
        <v>401201403.61000001</v>
      </c>
      <c r="X8" s="17">
        <v>456664487.14999998</v>
      </c>
      <c r="Y8" s="17">
        <v>512039375.02999997</v>
      </c>
      <c r="Z8" s="17">
        <v>570745140.01999998</v>
      </c>
      <c r="AA8" s="17">
        <v>630701717.08000004</v>
      </c>
      <c r="AB8" s="17">
        <v>689873425.01999998</v>
      </c>
      <c r="AC8" s="17">
        <v>751790149.25999999</v>
      </c>
      <c r="AD8" s="17">
        <v>812159044.64999998</v>
      </c>
      <c r="AE8" s="17">
        <v>874847282.48000002</v>
      </c>
      <c r="AF8" s="17">
        <v>938054272.69000006</v>
      </c>
      <c r="AG8" s="17">
        <v>996858145.84000003</v>
      </c>
      <c r="AH8" s="17">
        <v>1183162600</v>
      </c>
      <c r="AI8" s="17">
        <v>1371887792.4300001</v>
      </c>
      <c r="AJ8" s="17">
        <v>1431811703.1100001</v>
      </c>
      <c r="AK8" s="81">
        <v>1492029762.0599999</v>
      </c>
      <c r="AL8" s="81">
        <v>1548461311.3899999</v>
      </c>
      <c r="AM8" s="93">
        <v>1605822996.03</v>
      </c>
      <c r="AN8" s="93">
        <v>1660324257.5</v>
      </c>
      <c r="AO8" s="93">
        <v>1498144020.2800002</v>
      </c>
      <c r="AP8" s="93">
        <v>1762003942.54</v>
      </c>
      <c r="AQ8" s="93">
        <v>1813874776.8400002</v>
      </c>
      <c r="AR8" s="93">
        <v>1867066208.4699998</v>
      </c>
      <c r="AS8" s="93">
        <v>1919620884.1700001</v>
      </c>
      <c r="AT8" s="93">
        <v>1975018263.3400002</v>
      </c>
      <c r="AU8" s="93">
        <v>2022585263.0500002</v>
      </c>
      <c r="AV8" s="93">
        <v>2081147843.3699999</v>
      </c>
      <c r="AW8" s="93">
        <v>2133644903.71</v>
      </c>
      <c r="AX8" s="93">
        <v>2176403960.8899999</v>
      </c>
    </row>
    <row r="9" spans="2:50" s="15" customFormat="1">
      <c r="B9" s="29" t="s">
        <v>33</v>
      </c>
      <c r="C9" s="18">
        <f>SUM(C7:C8)</f>
        <v>13133945514.25</v>
      </c>
      <c r="D9" s="18">
        <f t="shared" ref="D9:N9" si="2">SUM(D7:D8)</f>
        <v>13134495297.34</v>
      </c>
      <c r="E9" s="18">
        <f t="shared" si="2"/>
        <v>13135096640.030001</v>
      </c>
      <c r="F9" s="18">
        <f t="shared" si="2"/>
        <v>13135752857.33</v>
      </c>
      <c r="G9" s="18">
        <f t="shared" si="2"/>
        <v>13136594575.6</v>
      </c>
      <c r="H9" s="18">
        <f t="shared" si="2"/>
        <v>13137635548.469999</v>
      </c>
      <c r="I9" s="18">
        <f t="shared" si="2"/>
        <v>13138904640.41</v>
      </c>
      <c r="J9" s="18">
        <f t="shared" si="2"/>
        <v>13141052315.220001</v>
      </c>
      <c r="K9" s="18">
        <f t="shared" si="2"/>
        <v>13145199062.730001</v>
      </c>
      <c r="L9" s="18">
        <f t="shared" si="2"/>
        <v>13540236044.6</v>
      </c>
      <c r="M9" s="18">
        <f t="shared" si="2"/>
        <v>13551207091.200001</v>
      </c>
      <c r="N9" s="18">
        <f t="shared" si="2"/>
        <v>13566666843.210001</v>
      </c>
      <c r="O9" s="18">
        <f t="shared" ref="O9:P9" si="3">SUM(O7:O8)</f>
        <v>13586645147.610001</v>
      </c>
      <c r="P9" s="18">
        <f t="shared" si="3"/>
        <v>13611301090.08</v>
      </c>
      <c r="Q9" s="18">
        <f t="shared" ref="Q9" si="4">SUM(Q7:Q8)</f>
        <v>13643121810.610001</v>
      </c>
      <c r="R9" s="18">
        <f t="shared" ref="R9:S9" si="5">SUM(R7:R8)</f>
        <v>13680206600.650002</v>
      </c>
      <c r="S9" s="18">
        <f t="shared" si="5"/>
        <v>13724137442.360001</v>
      </c>
      <c r="T9" s="18">
        <f t="shared" ref="T9:U9" si="6">SUM(T7:T8)</f>
        <v>13771891843.280001</v>
      </c>
      <c r="U9" s="18">
        <f t="shared" si="6"/>
        <v>13816590142.09</v>
      </c>
      <c r="V9" s="18">
        <f t="shared" ref="V9:W9" si="7">SUM(V7:V8)</f>
        <v>13868010727.41</v>
      </c>
      <c r="W9" s="18">
        <f t="shared" si="7"/>
        <v>13920363153.51</v>
      </c>
      <c r="X9" s="18">
        <f t="shared" ref="X9:Y9" si="8">SUM(X7:X8)</f>
        <v>13975826237.049999</v>
      </c>
      <c r="Y9" s="18">
        <f t="shared" si="8"/>
        <v>14031201124.93</v>
      </c>
      <c r="Z9" s="18">
        <f t="shared" ref="Z9:AA9" si="9">SUM(Z7:Z8)</f>
        <v>14089906889.92</v>
      </c>
      <c r="AA9" s="18">
        <f t="shared" si="9"/>
        <v>14149863466.98</v>
      </c>
      <c r="AB9" s="18">
        <f t="shared" ref="AB9:AG9" si="10">SUM(AB7:AB8)</f>
        <v>14209035174.92</v>
      </c>
      <c r="AC9" s="18">
        <f t="shared" si="10"/>
        <v>14270951899.16</v>
      </c>
      <c r="AD9" s="18">
        <f t="shared" si="10"/>
        <v>14331320794.549999</v>
      </c>
      <c r="AE9" s="18">
        <f t="shared" si="10"/>
        <v>14394009032.379999</v>
      </c>
      <c r="AF9" s="18">
        <f t="shared" si="10"/>
        <v>14457324022.26</v>
      </c>
      <c r="AG9" s="18">
        <f t="shared" si="10"/>
        <v>14516019895.74</v>
      </c>
      <c r="AH9" s="18">
        <f t="shared" ref="AH9:AI9" si="11">SUM(AH7:AH8)</f>
        <v>14702324349.9</v>
      </c>
      <c r="AI9" s="18">
        <f t="shared" si="11"/>
        <v>14891049542.33</v>
      </c>
      <c r="AJ9" s="18">
        <f t="shared" ref="AJ9:AK9" si="12">SUM(AJ7:AJ8)</f>
        <v>14950973453.01</v>
      </c>
      <c r="AK9" s="82">
        <f t="shared" si="12"/>
        <v>15011152245.389999</v>
      </c>
      <c r="AL9" s="82">
        <f t="shared" ref="AL9:AM9" si="13">SUM(AL7:AL8)</f>
        <v>15067623061.290001</v>
      </c>
      <c r="AM9" s="91">
        <f t="shared" si="13"/>
        <v>15124945479.360001</v>
      </c>
      <c r="AN9" s="91">
        <f t="shared" ref="AN9:AQ9" si="14">SUM(AN7:AN8)</f>
        <v>15179446740.83</v>
      </c>
      <c r="AO9" s="91">
        <f t="shared" si="14"/>
        <v>15227617279.190001</v>
      </c>
      <c r="AP9" s="91">
        <f t="shared" si="14"/>
        <v>15281126425.869999</v>
      </c>
      <c r="AQ9" s="91">
        <f t="shared" si="14"/>
        <v>15332997260.17</v>
      </c>
      <c r="AR9" s="91">
        <f t="shared" ref="AR9:AS9" si="15">SUM(AR7:AR8)</f>
        <v>15386188691.799999</v>
      </c>
      <c r="AS9" s="91">
        <f t="shared" si="15"/>
        <v>15438743367.5</v>
      </c>
      <c r="AT9" s="91">
        <f t="shared" ref="AT9:AU9" si="16">SUM(AT7:AT8)</f>
        <v>15494140746.67</v>
      </c>
      <c r="AU9" s="91">
        <f t="shared" si="16"/>
        <v>15541707746.380001</v>
      </c>
      <c r="AV9" s="91">
        <f t="shared" ref="AV9:AW9" si="17">SUM(AV7:AV8)</f>
        <v>15600270326.700001</v>
      </c>
      <c r="AW9" s="91">
        <f t="shared" si="17"/>
        <v>15652767387.040001</v>
      </c>
      <c r="AX9" s="91">
        <f t="shared" ref="AX9" si="18">SUM(AX7:AX8)</f>
        <v>15695526444.219999</v>
      </c>
    </row>
    <row r="10" spans="2:50">
      <c r="B10" s="19"/>
      <c r="C10" s="9"/>
      <c r="D10" s="9"/>
      <c r="E10" s="9"/>
      <c r="F10" s="9"/>
      <c r="G10" s="9"/>
      <c r="H10" s="9"/>
      <c r="I10" s="9"/>
      <c r="J10" s="9"/>
      <c r="K10" s="9"/>
      <c r="L10" s="9"/>
      <c r="M10" s="9"/>
      <c r="N10" s="9"/>
      <c r="O10" s="9"/>
      <c r="P10" s="9"/>
      <c r="Q10" s="9"/>
      <c r="R10" s="9"/>
      <c r="S10" s="9"/>
      <c r="T10" s="9"/>
      <c r="U10" s="9"/>
      <c r="V10" s="9"/>
      <c r="AD10" s="25"/>
      <c r="AE10" s="25"/>
      <c r="AF10" s="25"/>
      <c r="AG10" s="25"/>
      <c r="AH10" s="25"/>
      <c r="AI10" s="25"/>
      <c r="AJ10" s="25"/>
    </row>
    <row r="11" spans="2:50" s="15" customFormat="1">
      <c r="B11" s="29" t="s">
        <v>53</v>
      </c>
      <c r="C11" s="14">
        <v>340653890.87</v>
      </c>
      <c r="D11" s="14">
        <v>486159009.75000906</v>
      </c>
      <c r="E11" s="14">
        <v>624253638.71999991</v>
      </c>
      <c r="F11" s="14">
        <v>785792570.02000952</v>
      </c>
      <c r="G11" s="14">
        <v>925832835.51007116</v>
      </c>
      <c r="H11" s="14">
        <v>989170389.75007522</v>
      </c>
      <c r="I11" s="14">
        <v>1039575079.0801208</v>
      </c>
      <c r="J11" s="14">
        <v>1056551224.5301164</v>
      </c>
      <c r="K11" s="14">
        <v>1070255283.88</v>
      </c>
      <c r="L11" s="14">
        <v>1068953798.0299999</v>
      </c>
      <c r="M11" s="14">
        <v>1070224231.67</v>
      </c>
      <c r="N11" s="14">
        <v>1150345932.9799998</v>
      </c>
      <c r="O11" s="14">
        <v>1185210716.22</v>
      </c>
      <c r="P11" s="14">
        <v>1242330597.4499998</v>
      </c>
      <c r="Q11" s="14">
        <v>1276785125.72</v>
      </c>
      <c r="R11" s="14">
        <v>1323488962.1699998</v>
      </c>
      <c r="S11" s="14">
        <v>1346247712.46</v>
      </c>
      <c r="T11" s="14">
        <v>1370871660.0599999</v>
      </c>
      <c r="U11" s="14">
        <v>1386796563.0200002</v>
      </c>
      <c r="V11" s="14">
        <v>1395715249.4099998</v>
      </c>
      <c r="W11" s="14">
        <v>1409426918.29</v>
      </c>
      <c r="X11" s="14">
        <v>1415356186.0999999</v>
      </c>
      <c r="Y11" s="14">
        <v>1423677309.23</v>
      </c>
      <c r="Z11" s="14">
        <v>1570414288.6400001</v>
      </c>
      <c r="AA11" s="14">
        <v>1771650989.6399999</v>
      </c>
      <c r="AB11" s="14">
        <v>1876747091.45</v>
      </c>
      <c r="AC11" s="14">
        <v>1903108670.8099999</v>
      </c>
      <c r="AD11" s="14">
        <v>2146776287.0699999</v>
      </c>
      <c r="AE11" s="14">
        <v>2168413386.3600001</v>
      </c>
      <c r="AF11" s="14">
        <v>2178511355.4200001</v>
      </c>
      <c r="AG11" s="14">
        <v>2187663408.4200001</v>
      </c>
      <c r="AH11" s="14">
        <v>2438713579.3499999</v>
      </c>
      <c r="AI11" s="14">
        <v>2451324905.3000002</v>
      </c>
      <c r="AJ11" s="14">
        <v>2451164464.4200001</v>
      </c>
      <c r="AK11" s="80">
        <v>2450230194.46</v>
      </c>
      <c r="AL11" s="80">
        <v>2450230194.46</v>
      </c>
      <c r="AM11" s="92">
        <v>2450230194.46</v>
      </c>
      <c r="AN11" s="92">
        <v>2450230194.46</v>
      </c>
      <c r="AO11" s="92">
        <v>2450230194.46</v>
      </c>
      <c r="AP11" s="92">
        <v>2450230194.46</v>
      </c>
      <c r="AQ11" s="92">
        <v>2450230194.46</v>
      </c>
      <c r="AR11" s="92">
        <v>2450230194.46</v>
      </c>
      <c r="AS11" s="92">
        <v>2450230194.46</v>
      </c>
      <c r="AT11" s="92">
        <v>2450230194.46</v>
      </c>
      <c r="AU11" s="92">
        <v>2450230194.46</v>
      </c>
      <c r="AV11" s="92">
        <v>2450230194.46</v>
      </c>
      <c r="AW11" s="92">
        <v>2445454494.6300001</v>
      </c>
      <c r="AX11" s="92">
        <v>2445454494.6300001</v>
      </c>
    </row>
    <row r="12" spans="2:50">
      <c r="B12" s="19"/>
      <c r="C12" s="9"/>
      <c r="D12" s="9"/>
      <c r="E12" s="9"/>
      <c r="F12" s="9"/>
      <c r="G12" s="9"/>
      <c r="H12" s="9"/>
      <c r="I12" s="9"/>
      <c r="J12" s="9"/>
      <c r="K12" s="9"/>
      <c r="L12" s="9"/>
      <c r="M12" s="9"/>
      <c r="N12" s="9"/>
      <c r="O12" s="9"/>
      <c r="P12" s="9"/>
      <c r="Q12" s="9"/>
      <c r="R12" s="9"/>
      <c r="S12" s="9"/>
      <c r="T12" s="9"/>
      <c r="U12" s="9"/>
      <c r="V12" s="9"/>
      <c r="AD12" s="25"/>
      <c r="AE12" s="25"/>
      <c r="AF12" s="25"/>
      <c r="AG12" s="25"/>
      <c r="AH12" s="25"/>
      <c r="AI12" s="25"/>
      <c r="AJ12" s="25"/>
      <c r="AR12" s="90" t="s">
        <v>98</v>
      </c>
    </row>
    <row r="13" spans="2:50">
      <c r="B13" s="29" t="s">
        <v>5</v>
      </c>
      <c r="C13" s="10"/>
      <c r="D13" s="10"/>
      <c r="E13" s="10"/>
      <c r="F13" s="10"/>
      <c r="G13" s="10"/>
      <c r="H13" s="10"/>
      <c r="I13" s="10"/>
      <c r="J13" s="10"/>
      <c r="K13" s="10"/>
      <c r="L13" s="10"/>
      <c r="M13" s="10"/>
      <c r="N13" s="10"/>
      <c r="O13" s="10"/>
      <c r="P13" s="10"/>
      <c r="Q13" s="10"/>
      <c r="R13" s="10"/>
      <c r="S13" s="10"/>
      <c r="T13" s="10"/>
      <c r="U13" s="10"/>
      <c r="V13" s="10"/>
      <c r="AD13" s="25"/>
      <c r="AE13" s="25"/>
      <c r="AF13" s="25"/>
      <c r="AG13" s="25"/>
      <c r="AH13" s="25"/>
      <c r="AI13" s="25"/>
      <c r="AJ13" s="25"/>
    </row>
    <row r="14" spans="2:50">
      <c r="B14" s="16" t="s">
        <v>34</v>
      </c>
      <c r="C14" s="10">
        <v>1689668547.5599999</v>
      </c>
      <c r="D14" s="10">
        <f>C14+735573109.44</f>
        <v>2425241657</v>
      </c>
      <c r="E14" s="10">
        <v>2425241657</v>
      </c>
      <c r="F14" s="10">
        <v>2425241657</v>
      </c>
      <c r="G14" s="10">
        <v>2425241657</v>
      </c>
      <c r="H14" s="10">
        <v>2425241657</v>
      </c>
      <c r="I14" s="10">
        <f>H14+27219044.18</f>
        <v>2452460701.1799998</v>
      </c>
      <c r="J14" s="10">
        <f>I14+119204649.68</f>
        <v>2571665350.8599997</v>
      </c>
      <c r="K14" s="10">
        <v>2571665350.8599997</v>
      </c>
      <c r="L14" s="10">
        <v>2571665350.8599997</v>
      </c>
      <c r="M14" s="10">
        <v>2571665350.8599997</v>
      </c>
      <c r="N14" s="10">
        <f>M14+99354877.39</f>
        <v>2671020228.2499995</v>
      </c>
      <c r="O14" s="10">
        <v>2671020228.2499995</v>
      </c>
      <c r="P14" s="10">
        <v>2671020228.2499995</v>
      </c>
      <c r="Q14" s="10">
        <v>2759726889.7000003</v>
      </c>
      <c r="R14" s="10">
        <v>2759726889.7000003</v>
      </c>
      <c r="S14" s="10">
        <v>2759726889.7000003</v>
      </c>
      <c r="T14" s="10">
        <v>2822886723.7799997</v>
      </c>
      <c r="U14" s="10">
        <v>2822886723.7800002</v>
      </c>
      <c r="V14" s="10">
        <v>2890974803.0300002</v>
      </c>
      <c r="W14" s="9">
        <v>2890974803.0300002</v>
      </c>
      <c r="X14" s="9">
        <v>2890974803.0300002</v>
      </c>
      <c r="Y14" s="9">
        <v>2890974803.0299997</v>
      </c>
      <c r="Z14" s="9">
        <v>2890974803.0299997</v>
      </c>
      <c r="AA14" s="9">
        <v>2890974803.0299997</v>
      </c>
      <c r="AB14" s="9">
        <v>2890974803.0299997</v>
      </c>
      <c r="AC14" s="9">
        <v>2890974803.0299997</v>
      </c>
      <c r="AD14" s="9">
        <v>2890974803.0299997</v>
      </c>
      <c r="AE14" s="9">
        <v>2890974803.0299997</v>
      </c>
      <c r="AF14" s="9">
        <v>2890974803.0299997</v>
      </c>
      <c r="AG14" s="9">
        <v>2890974803.0299997</v>
      </c>
      <c r="AH14" s="9">
        <v>2890974803.0299997</v>
      </c>
      <c r="AI14" s="9">
        <v>2894127303.0299997</v>
      </c>
      <c r="AJ14" s="9">
        <v>2894127303.0299997</v>
      </c>
      <c r="AK14" s="79">
        <v>2894127303.0299997</v>
      </c>
      <c r="AL14" s="79">
        <v>2894127303.0299997</v>
      </c>
      <c r="AM14" s="90">
        <v>2894127303.0299997</v>
      </c>
      <c r="AN14" s="90">
        <v>2894127303.0299997</v>
      </c>
      <c r="AO14" s="90">
        <v>2894127303.0299997</v>
      </c>
      <c r="AP14" s="90">
        <v>2890974803.0299997</v>
      </c>
      <c r="AQ14" s="90">
        <v>2890974803.0299997</v>
      </c>
      <c r="AR14" s="90">
        <v>2890974803.0299997</v>
      </c>
      <c r="AS14" s="90">
        <v>2890974803.0299997</v>
      </c>
      <c r="AT14" s="90">
        <v>2890974803.0299997</v>
      </c>
      <c r="AU14" s="90">
        <v>2890974803.0299997</v>
      </c>
      <c r="AV14" s="90">
        <v>2890974803.0299997</v>
      </c>
      <c r="AW14" s="90">
        <v>2890974803.0299997</v>
      </c>
      <c r="AX14" s="90">
        <v>2890974803.0299997</v>
      </c>
    </row>
    <row r="15" spans="2:50">
      <c r="B15" s="16" t="s">
        <v>36</v>
      </c>
      <c r="C15" s="10">
        <v>1050000000</v>
      </c>
      <c r="D15" s="10">
        <v>1050000000</v>
      </c>
      <c r="E15" s="10">
        <v>1050000000</v>
      </c>
      <c r="F15" s="10">
        <v>1050000000</v>
      </c>
      <c r="G15" s="10">
        <v>1050000000</v>
      </c>
      <c r="H15" s="10">
        <v>1050000000</v>
      </c>
      <c r="I15" s="10">
        <v>1050000000</v>
      </c>
      <c r="J15" s="10">
        <f>1050000000+125000000</f>
        <v>1175000000</v>
      </c>
      <c r="K15" s="10">
        <v>1175000000</v>
      </c>
      <c r="L15" s="10">
        <v>1175000000</v>
      </c>
      <c r="M15" s="10">
        <v>1175000000</v>
      </c>
      <c r="N15" s="10">
        <v>1175000000</v>
      </c>
      <c r="O15" s="10">
        <v>1175000000</v>
      </c>
      <c r="P15" s="10">
        <v>1175000000</v>
      </c>
      <c r="Q15" s="10">
        <v>1175000000</v>
      </c>
      <c r="R15" s="10">
        <v>1175000000</v>
      </c>
      <c r="S15" s="10">
        <v>1175000000</v>
      </c>
      <c r="T15" s="10">
        <v>1175000000</v>
      </c>
      <c r="U15" s="10">
        <v>1175000000</v>
      </c>
      <c r="V15" s="10">
        <v>1175000000</v>
      </c>
      <c r="W15" s="9">
        <v>1566000000</v>
      </c>
      <c r="X15" s="9">
        <v>1566000000</v>
      </c>
      <c r="Y15" s="9">
        <v>1566000000</v>
      </c>
      <c r="Z15" s="9">
        <v>1566000000</v>
      </c>
      <c r="AA15" s="9">
        <v>1566000000</v>
      </c>
      <c r="AB15" s="9">
        <v>1566000000</v>
      </c>
      <c r="AC15" s="9">
        <v>1566000000</v>
      </c>
      <c r="AD15" s="9">
        <v>1566000000</v>
      </c>
      <c r="AE15" s="9">
        <v>1566000000</v>
      </c>
      <c r="AF15" s="9">
        <v>1566000000</v>
      </c>
      <c r="AG15" s="9">
        <v>1566000000</v>
      </c>
      <c r="AH15" s="9">
        <v>1566000000</v>
      </c>
      <c r="AI15" s="9">
        <v>1566000000</v>
      </c>
      <c r="AJ15" s="9">
        <v>1554205360.4000001</v>
      </c>
      <c r="AK15" s="79">
        <v>1565990000</v>
      </c>
      <c r="AL15" s="79">
        <v>1566000000</v>
      </c>
      <c r="AM15" s="90">
        <v>1566000000</v>
      </c>
      <c r="AN15" s="90">
        <v>1566000000</v>
      </c>
      <c r="AO15" s="90">
        <v>1566000000</v>
      </c>
      <c r="AP15" s="90">
        <v>1566000000</v>
      </c>
      <c r="AQ15" s="90">
        <v>1566000000</v>
      </c>
      <c r="AR15" s="90">
        <v>1566000000</v>
      </c>
      <c r="AS15" s="90">
        <v>1566000000</v>
      </c>
      <c r="AT15" s="90">
        <v>1566000000</v>
      </c>
      <c r="AU15" s="90">
        <v>1566000000</v>
      </c>
      <c r="AV15" s="90">
        <v>1566000000</v>
      </c>
      <c r="AW15" s="90">
        <v>1566000000</v>
      </c>
      <c r="AX15" s="90">
        <v>1566000000</v>
      </c>
    </row>
    <row r="16" spans="2:50">
      <c r="B16" s="30" t="s">
        <v>32</v>
      </c>
      <c r="C16" s="21">
        <v>486483.7</v>
      </c>
      <c r="D16" s="21">
        <f>C16+51974.21</f>
        <v>538457.91</v>
      </c>
      <c r="E16" s="21">
        <f>D16+42048.52</f>
        <v>580506.43000000005</v>
      </c>
      <c r="F16" s="21">
        <f>E16+66944.9</f>
        <v>647451.33000000007</v>
      </c>
      <c r="G16" s="21">
        <f>F16+74072.83</f>
        <v>721524.16</v>
      </c>
      <c r="H16" s="21">
        <f>G16+79065.6</f>
        <v>800589.76</v>
      </c>
      <c r="I16" s="21">
        <f>H16+79482.23</f>
        <v>880071.99</v>
      </c>
      <c r="J16" s="21">
        <f>I16+114391.08</f>
        <v>994463.07</v>
      </c>
      <c r="K16" s="21">
        <f>J16+198004.58</f>
        <v>1192467.6499999999</v>
      </c>
      <c r="L16" s="21">
        <f>K16+279720.82</f>
        <v>1472188.47</v>
      </c>
      <c r="M16" s="21">
        <f>L16+258920.16</f>
        <v>1731108.63</v>
      </c>
      <c r="N16" s="21">
        <f>M16+201108.54</f>
        <v>1932217.17</v>
      </c>
      <c r="O16" s="21">
        <f>N16+310639.62</f>
        <v>2242856.79</v>
      </c>
      <c r="P16" s="21">
        <v>2530066.91</v>
      </c>
      <c r="Q16" s="21">
        <v>2830178.09</v>
      </c>
      <c r="R16" s="21">
        <v>3326738.62</v>
      </c>
      <c r="S16" s="21">
        <v>4034533.51</v>
      </c>
      <c r="T16" s="21">
        <v>4796435.1100000003</v>
      </c>
      <c r="U16" s="21">
        <v>5517466.8600000003</v>
      </c>
      <c r="V16" s="21">
        <v>6576166.9500000002</v>
      </c>
      <c r="W16" s="17">
        <v>7747706.540000001</v>
      </c>
      <c r="X16" s="17">
        <v>9147660.2599999998</v>
      </c>
      <c r="Y16" s="17">
        <v>10347820.050000001</v>
      </c>
      <c r="Z16" s="17">
        <v>11633370.08</v>
      </c>
      <c r="AA16" s="17">
        <v>12923385.869999999</v>
      </c>
      <c r="AB16" s="17">
        <v>14175559.23</v>
      </c>
      <c r="AC16" s="17">
        <v>15470968.870000001</v>
      </c>
      <c r="AD16" s="17">
        <v>16709611</v>
      </c>
      <c r="AE16" s="17">
        <v>17964724.170000002</v>
      </c>
      <c r="AF16" s="17">
        <v>19177119.48</v>
      </c>
      <c r="AG16" s="17">
        <v>20057287.34</v>
      </c>
      <c r="AH16" s="17">
        <v>21715002.120000001</v>
      </c>
      <c r="AI16" s="17">
        <v>23018538.509999998</v>
      </c>
      <c r="AJ16" s="17">
        <v>23435695.780000001</v>
      </c>
      <c r="AK16" s="81">
        <v>23851153.66</v>
      </c>
      <c r="AL16" s="81">
        <v>24237620.940000001</v>
      </c>
      <c r="AM16" s="93">
        <v>24621931.259999998</v>
      </c>
      <c r="AN16" s="93">
        <v>24957362.559999999</v>
      </c>
      <c r="AO16" s="93">
        <v>25251108.09</v>
      </c>
      <c r="AP16" s="93">
        <v>25577025.390000001</v>
      </c>
      <c r="AQ16" s="93">
        <v>25891917.050000001</v>
      </c>
      <c r="AR16" s="93">
        <v>26204494.880000003</v>
      </c>
      <c r="AS16" s="93">
        <v>26513350.310000002</v>
      </c>
      <c r="AT16" s="93">
        <v>26838913.859999999</v>
      </c>
      <c r="AU16" s="93">
        <v>27158415.049999997</v>
      </c>
      <c r="AV16" s="93">
        <v>27370518</v>
      </c>
      <c r="AW16" s="93">
        <v>27471268.390000001</v>
      </c>
      <c r="AX16" s="93">
        <v>27566448.890000001</v>
      </c>
    </row>
    <row r="17" spans="2:50" s="15" customFormat="1">
      <c r="B17" s="29" t="s">
        <v>37</v>
      </c>
      <c r="C17" s="22">
        <f>SUM(C14:C16)</f>
        <v>2740155031.2599998</v>
      </c>
      <c r="D17" s="22">
        <f t="shared" ref="D17:G17" si="19">SUM(D14:D16)</f>
        <v>3475780114.9099998</v>
      </c>
      <c r="E17" s="22">
        <f t="shared" si="19"/>
        <v>3475822163.4299998</v>
      </c>
      <c r="F17" s="22">
        <f t="shared" si="19"/>
        <v>3475889108.3299999</v>
      </c>
      <c r="G17" s="22">
        <f t="shared" si="19"/>
        <v>3475963181.1599998</v>
      </c>
      <c r="H17" s="22">
        <f t="shared" ref="H17" si="20">SUM(H14:H16)</f>
        <v>3476042246.7600002</v>
      </c>
      <c r="I17" s="22">
        <f t="shared" ref="I17" si="21">SUM(I14:I16)</f>
        <v>3503340773.1699996</v>
      </c>
      <c r="J17" s="22">
        <f t="shared" ref="J17:K17" si="22">SUM(J14:J16)</f>
        <v>3747659813.9299998</v>
      </c>
      <c r="K17" s="22">
        <f t="shared" si="22"/>
        <v>3747857818.5099998</v>
      </c>
      <c r="L17" s="22">
        <f t="shared" ref="L17" si="23">SUM(L14:L16)</f>
        <v>3748137539.3299994</v>
      </c>
      <c r="M17" s="22">
        <f t="shared" ref="M17" si="24">SUM(M14:M16)</f>
        <v>3748396459.4899998</v>
      </c>
      <c r="N17" s="22">
        <f t="shared" ref="N17:O17" si="25">SUM(N14:N16)</f>
        <v>3847952445.4199996</v>
      </c>
      <c r="O17" s="22">
        <f t="shared" si="25"/>
        <v>3848263085.0399995</v>
      </c>
      <c r="P17" s="22">
        <f t="shared" ref="P17" si="26">SUM(P14:P16)</f>
        <v>3848550295.1599994</v>
      </c>
      <c r="Q17" s="22">
        <f t="shared" ref="Q17" si="27">SUM(Q14:Q16)</f>
        <v>3937557067.7900004</v>
      </c>
      <c r="R17" s="22">
        <f t="shared" ref="R17:S17" si="28">SUM(R14:R16)</f>
        <v>3938053628.3200002</v>
      </c>
      <c r="S17" s="22">
        <f t="shared" si="28"/>
        <v>3938761423.2100005</v>
      </c>
      <c r="T17" s="22">
        <f t="shared" ref="T17:U17" si="29">SUM(T14:T16)</f>
        <v>4002683158.8899999</v>
      </c>
      <c r="U17" s="22">
        <f t="shared" si="29"/>
        <v>4003404190.6400003</v>
      </c>
      <c r="V17" s="22">
        <f t="shared" ref="V17:W17" si="30">SUM(V14:V16)</f>
        <v>4072550969.98</v>
      </c>
      <c r="W17" s="22">
        <f t="shared" si="30"/>
        <v>4464722509.5700006</v>
      </c>
      <c r="X17" s="22">
        <f t="shared" ref="X17:Y17" si="31">SUM(X14:X16)</f>
        <v>4466122463.2900009</v>
      </c>
      <c r="Y17" s="22">
        <f t="shared" si="31"/>
        <v>4467322623.0799999</v>
      </c>
      <c r="Z17" s="22">
        <f t="shared" ref="Z17:AA17" si="32">SUM(Z14:Z16)</f>
        <v>4468608173.1099997</v>
      </c>
      <c r="AA17" s="22">
        <f t="shared" si="32"/>
        <v>4469898188.8999996</v>
      </c>
      <c r="AB17" s="22">
        <f t="shared" ref="AB17:AG17" si="33">SUM(AB14:AB16)</f>
        <v>4471150362.2599993</v>
      </c>
      <c r="AC17" s="22">
        <f t="shared" si="33"/>
        <v>4472445771.8999996</v>
      </c>
      <c r="AD17" s="22">
        <f t="shared" si="33"/>
        <v>4473684414.0299997</v>
      </c>
      <c r="AE17" s="22">
        <f t="shared" si="33"/>
        <v>4474939527.1999998</v>
      </c>
      <c r="AF17" s="22">
        <f t="shared" si="33"/>
        <v>4476151922.5099993</v>
      </c>
      <c r="AG17" s="22">
        <f t="shared" si="33"/>
        <v>4477032090.3699999</v>
      </c>
      <c r="AH17" s="22">
        <f t="shared" ref="AH17:AI17" si="34">SUM(AH14:AH16)</f>
        <v>4478689805.1499996</v>
      </c>
      <c r="AI17" s="22">
        <f t="shared" si="34"/>
        <v>4483145841.54</v>
      </c>
      <c r="AJ17" s="22">
        <f t="shared" ref="AJ17:AK17" si="35">SUM(AJ14:AJ16)</f>
        <v>4471768359.21</v>
      </c>
      <c r="AK17" s="82">
        <f t="shared" si="35"/>
        <v>4483968456.6899996</v>
      </c>
      <c r="AL17" s="82">
        <f t="shared" ref="AL17:AM17" si="36">SUM(AL14:AL16)</f>
        <v>4484364923.9699993</v>
      </c>
      <c r="AM17" s="91">
        <f t="shared" si="36"/>
        <v>4484749234.29</v>
      </c>
      <c r="AN17" s="91">
        <f t="shared" ref="AN17:AQ17" si="37">SUM(AN14:AN16)</f>
        <v>4485084665.5900002</v>
      </c>
      <c r="AO17" s="91">
        <f t="shared" si="37"/>
        <v>4485378411.1199999</v>
      </c>
      <c r="AP17" s="91">
        <f t="shared" si="37"/>
        <v>4482551828.4200001</v>
      </c>
      <c r="AQ17" s="91">
        <f t="shared" si="37"/>
        <v>4482866720.0799999</v>
      </c>
      <c r="AR17" s="91">
        <f t="shared" ref="AR17:AS17" si="38">SUM(AR14:AR16)</f>
        <v>4483179297.9099998</v>
      </c>
      <c r="AS17" s="91">
        <f t="shared" si="38"/>
        <v>4483488153.3400002</v>
      </c>
      <c r="AT17" s="91">
        <f t="shared" ref="AT17:AU17" si="39">SUM(AT14:AT16)</f>
        <v>4483813716.8899994</v>
      </c>
      <c r="AU17" s="91">
        <f t="shared" si="39"/>
        <v>4484133218.0799999</v>
      </c>
      <c r="AV17" s="91">
        <f t="shared" ref="AV17:AW17" si="40">SUM(AV14:AV16)</f>
        <v>4484345321.0299997</v>
      </c>
      <c r="AW17" s="91">
        <f t="shared" si="40"/>
        <v>4484446071.4200001</v>
      </c>
      <c r="AX17" s="91">
        <f t="shared" ref="AX17" si="41">SUM(AX14:AX16)</f>
        <v>4484541251.9200001</v>
      </c>
    </row>
    <row r="18" spans="2:50">
      <c r="B18" s="19"/>
      <c r="C18" s="9"/>
      <c r="D18" s="9"/>
      <c r="E18" s="9"/>
      <c r="F18" s="9"/>
      <c r="G18" s="9"/>
      <c r="H18" s="9"/>
      <c r="I18" s="9"/>
      <c r="J18" s="9"/>
      <c r="K18" s="9"/>
      <c r="L18" s="9"/>
      <c r="M18" s="9"/>
      <c r="N18" s="9"/>
      <c r="O18" s="9"/>
      <c r="P18" s="9"/>
      <c r="Q18" s="9"/>
      <c r="R18" s="9"/>
      <c r="S18" s="9"/>
      <c r="T18" s="9"/>
      <c r="U18" s="9"/>
      <c r="V18" s="9"/>
      <c r="AD18" s="25"/>
      <c r="AE18" s="25"/>
      <c r="AF18" s="25"/>
      <c r="AG18" s="25"/>
      <c r="AH18" s="25"/>
      <c r="AI18" s="25"/>
      <c r="AJ18" s="25"/>
    </row>
    <row r="19" spans="2:50">
      <c r="B19" s="29" t="s">
        <v>6</v>
      </c>
      <c r="C19" s="10"/>
      <c r="D19" s="10"/>
      <c r="E19" s="10"/>
      <c r="F19" s="10"/>
      <c r="G19" s="10"/>
      <c r="H19" s="10"/>
      <c r="I19" s="10"/>
      <c r="J19" s="10"/>
      <c r="K19" s="10"/>
      <c r="L19" s="10"/>
      <c r="M19" s="10"/>
      <c r="N19" s="10"/>
      <c r="O19" s="10"/>
      <c r="P19" s="10"/>
      <c r="Q19" s="10"/>
      <c r="R19" s="10"/>
      <c r="S19" s="10"/>
      <c r="T19" s="10"/>
      <c r="U19" s="10"/>
      <c r="V19" s="10"/>
      <c r="AD19" s="25"/>
      <c r="AE19" s="25"/>
      <c r="AF19" s="25"/>
      <c r="AG19" s="25"/>
      <c r="AH19" s="25"/>
      <c r="AI19" s="25"/>
      <c r="AJ19" s="25"/>
    </row>
    <row r="20" spans="2:50">
      <c r="B20" s="16" t="s">
        <v>34</v>
      </c>
      <c r="C20" s="9">
        <v>53945851.799999997</v>
      </c>
      <c r="D20" s="9">
        <v>53945851.799999997</v>
      </c>
      <c r="E20" s="52">
        <f>D20+485512666.2</f>
        <v>539458518</v>
      </c>
      <c r="F20" s="52">
        <v>539458518</v>
      </c>
      <c r="G20" s="52">
        <v>539458518</v>
      </c>
      <c r="H20" s="52">
        <v>539458518</v>
      </c>
      <c r="I20" s="52">
        <v>539458518</v>
      </c>
      <c r="J20" s="52">
        <v>539458518</v>
      </c>
      <c r="K20" s="52">
        <v>539458518</v>
      </c>
      <c r="L20" s="52">
        <v>539458518</v>
      </c>
      <c r="M20" s="52">
        <v>539458518</v>
      </c>
      <c r="N20" s="52">
        <v>539458518</v>
      </c>
      <c r="O20" s="52">
        <v>539458518</v>
      </c>
      <c r="P20" s="52">
        <v>539458518</v>
      </c>
      <c r="Q20" s="52">
        <v>539458518</v>
      </c>
      <c r="R20" s="52">
        <v>539458518</v>
      </c>
      <c r="S20" s="52">
        <v>539458518</v>
      </c>
      <c r="T20" s="52">
        <v>539458518</v>
      </c>
      <c r="U20" s="52">
        <v>539458518</v>
      </c>
      <c r="V20" s="52">
        <v>539458518</v>
      </c>
      <c r="W20" s="9">
        <v>539458518</v>
      </c>
      <c r="X20" s="9">
        <v>539458518</v>
      </c>
      <c r="Y20" s="9">
        <v>539458518</v>
      </c>
      <c r="Z20" s="9">
        <v>539458518</v>
      </c>
      <c r="AA20" s="9">
        <v>539458518</v>
      </c>
      <c r="AB20" s="9">
        <v>539458518</v>
      </c>
      <c r="AC20" s="9">
        <v>539458518</v>
      </c>
      <c r="AD20" s="9">
        <v>539458518</v>
      </c>
      <c r="AE20" s="9">
        <v>539462613.73000002</v>
      </c>
      <c r="AF20" s="9">
        <v>539458518</v>
      </c>
      <c r="AG20" s="9">
        <v>539458518</v>
      </c>
      <c r="AH20" s="9">
        <v>539458518</v>
      </c>
      <c r="AI20" s="9">
        <v>539458518</v>
      </c>
      <c r="AJ20" s="9">
        <v>539458518</v>
      </c>
      <c r="AK20" s="79">
        <v>539458518</v>
      </c>
      <c r="AL20" s="79">
        <v>539458518</v>
      </c>
      <c r="AM20" s="90">
        <v>539458518</v>
      </c>
      <c r="AN20" s="90">
        <v>539458518</v>
      </c>
      <c r="AO20" s="90">
        <v>539458518</v>
      </c>
      <c r="AP20" s="90">
        <v>539458518</v>
      </c>
      <c r="AQ20" s="90">
        <v>539458518</v>
      </c>
      <c r="AR20" s="90">
        <v>539458518</v>
      </c>
      <c r="AS20" s="90">
        <v>539458518</v>
      </c>
      <c r="AT20" s="90">
        <v>539458518</v>
      </c>
      <c r="AU20" s="90">
        <v>539458518</v>
      </c>
      <c r="AV20" s="90">
        <v>539458518</v>
      </c>
      <c r="AW20" s="90">
        <v>539458518</v>
      </c>
      <c r="AX20" s="90">
        <v>539458518</v>
      </c>
    </row>
    <row r="21" spans="2:50">
      <c r="B21" s="30" t="s">
        <v>32</v>
      </c>
      <c r="C21" s="17">
        <v>7671.22</v>
      </c>
      <c r="D21" s="17">
        <f>C21+817.46</f>
        <v>8488.68</v>
      </c>
      <c r="E21" s="17">
        <f>D21+186.53</f>
        <v>8675.2100000000009</v>
      </c>
      <c r="F21" s="17">
        <f>E21+7701.31</f>
        <v>16376.52</v>
      </c>
      <c r="G21" s="17">
        <f>F21+31754.95</f>
        <v>48131.47</v>
      </c>
      <c r="H21" s="17">
        <f>G21+38171.01</f>
        <v>86302.48000000001</v>
      </c>
      <c r="I21" s="17">
        <f>H21+46535.81</f>
        <v>132838.29</v>
      </c>
      <c r="J21" s="17">
        <f>I21+80008.2</f>
        <v>212846.49</v>
      </c>
      <c r="K21" s="17">
        <f>J21+151929.48</f>
        <v>364775.97</v>
      </c>
      <c r="L21" s="17">
        <f>K21+289705.43</f>
        <v>654481.39999999991</v>
      </c>
      <c r="M21" s="17">
        <f>L21+383322.91</f>
        <v>1037804.3099999998</v>
      </c>
      <c r="N21" s="17">
        <f>M21+433315</f>
        <v>1471119.3099999998</v>
      </c>
      <c r="O21" s="17">
        <f>N21+550436.26</f>
        <v>2021555.5699999998</v>
      </c>
      <c r="P21" s="17">
        <v>2574262.9700000002</v>
      </c>
      <c r="Q21" s="17">
        <v>3219930.05</v>
      </c>
      <c r="R21" s="17">
        <v>3847824.83</v>
      </c>
      <c r="S21" s="17">
        <v>4413579.0199999996</v>
      </c>
      <c r="T21" s="17">
        <v>4961144.6399999997</v>
      </c>
      <c r="U21" s="17">
        <v>5329279.83</v>
      </c>
      <c r="V21" s="17">
        <v>5561734.6699999999</v>
      </c>
      <c r="W21" s="17">
        <v>5797619.8600000003</v>
      </c>
      <c r="X21" s="17">
        <v>6046666.5599999996</v>
      </c>
      <c r="Y21" s="17">
        <v>6079183.8499999996</v>
      </c>
      <c r="Z21" s="17">
        <v>6113335.8099999996</v>
      </c>
      <c r="AA21" s="17">
        <v>6147666.2599999998</v>
      </c>
      <c r="AB21" s="17">
        <v>6180883.0499999998</v>
      </c>
      <c r="AC21" s="17">
        <v>6215018.9400000004</v>
      </c>
      <c r="AD21" s="17">
        <v>6247937.1100000003</v>
      </c>
      <c r="AE21" s="17">
        <v>6281911.2999999998</v>
      </c>
      <c r="AF21" s="17">
        <v>6315973.9699999997</v>
      </c>
      <c r="AG21" s="17">
        <v>6348041.4400000004</v>
      </c>
      <c r="AH21" s="17">
        <v>6438159.5199999996</v>
      </c>
      <c r="AI21" s="17">
        <v>6525417.6299999999</v>
      </c>
      <c r="AJ21" s="17">
        <v>6553117.0099999998</v>
      </c>
      <c r="AK21" s="81">
        <v>6580952.3600000003</v>
      </c>
      <c r="AL21" s="81">
        <v>6607037.4299999997</v>
      </c>
      <c r="AM21" s="93">
        <v>6633552.4400000004</v>
      </c>
      <c r="AN21" s="93">
        <v>6658745.2400000002</v>
      </c>
      <c r="AO21" s="93">
        <v>6681420.0599999996</v>
      </c>
      <c r="AP21" s="93">
        <v>6706177.5499999998</v>
      </c>
      <c r="AQ21" s="93">
        <v>6730177.0599999996</v>
      </c>
      <c r="AR21" s="93">
        <v>6754344.5300000003</v>
      </c>
      <c r="AS21" s="93">
        <v>6778637.6600000001</v>
      </c>
      <c r="AT21" s="93">
        <v>6804244.8200000003</v>
      </c>
      <c r="AU21" s="93">
        <v>6829383.9100000001</v>
      </c>
      <c r="AV21" s="93">
        <v>6853860.4199999999</v>
      </c>
      <c r="AW21" s="93">
        <v>6877604.3600000003</v>
      </c>
      <c r="AX21" s="93">
        <v>6901104.6699999999</v>
      </c>
    </row>
    <row r="22" spans="2:50" s="15" customFormat="1">
      <c r="B22" s="31" t="s">
        <v>38</v>
      </c>
      <c r="C22" s="22">
        <f>SUM(C20:C21)</f>
        <v>53953523.019999996</v>
      </c>
      <c r="D22" s="22">
        <f t="shared" ref="D22:N22" si="42">SUM(D20:D21)</f>
        <v>53954340.479999997</v>
      </c>
      <c r="E22" s="22">
        <f t="shared" si="42"/>
        <v>539467193.21000004</v>
      </c>
      <c r="F22" s="22">
        <f t="shared" si="42"/>
        <v>539474894.51999998</v>
      </c>
      <c r="G22" s="22">
        <f t="shared" si="42"/>
        <v>539506649.47000003</v>
      </c>
      <c r="H22" s="22">
        <f t="shared" si="42"/>
        <v>539544820.48000002</v>
      </c>
      <c r="I22" s="22">
        <f t="shared" si="42"/>
        <v>539591356.28999996</v>
      </c>
      <c r="J22" s="22">
        <f t="shared" si="42"/>
        <v>539671364.49000001</v>
      </c>
      <c r="K22" s="22">
        <f t="shared" si="42"/>
        <v>539823293.97000003</v>
      </c>
      <c r="L22" s="22">
        <f t="shared" si="42"/>
        <v>540112999.39999998</v>
      </c>
      <c r="M22" s="22">
        <f t="shared" si="42"/>
        <v>540496322.30999994</v>
      </c>
      <c r="N22" s="22">
        <f t="shared" si="42"/>
        <v>540929637.30999994</v>
      </c>
      <c r="O22" s="22">
        <f t="shared" ref="O22:P22" si="43">SUM(O20:O21)</f>
        <v>541480073.57000005</v>
      </c>
      <c r="P22" s="22">
        <f t="shared" si="43"/>
        <v>542032780.97000003</v>
      </c>
      <c r="Q22" s="22">
        <f t="shared" ref="Q22" si="44">SUM(Q20:Q21)</f>
        <v>542678448.04999995</v>
      </c>
      <c r="R22" s="22">
        <f t="shared" ref="R22:S22" si="45">SUM(R20:R21)</f>
        <v>543306342.83000004</v>
      </c>
      <c r="S22" s="22">
        <f t="shared" si="45"/>
        <v>543872097.01999998</v>
      </c>
      <c r="T22" s="22">
        <f t="shared" ref="T22:U22" si="46">SUM(T20:T21)</f>
        <v>544419662.63999999</v>
      </c>
      <c r="U22" s="22">
        <f t="shared" si="46"/>
        <v>544787797.83000004</v>
      </c>
      <c r="V22" s="22">
        <f t="shared" ref="V22:W22" si="47">SUM(V20:V21)</f>
        <v>545020252.66999996</v>
      </c>
      <c r="W22" s="22">
        <f t="shared" si="47"/>
        <v>545256137.86000001</v>
      </c>
      <c r="X22" s="22">
        <f t="shared" ref="X22:Y22" si="48">SUM(X20:X21)</f>
        <v>545505184.55999994</v>
      </c>
      <c r="Y22" s="22">
        <f t="shared" si="48"/>
        <v>545537701.85000002</v>
      </c>
      <c r="Z22" s="22">
        <f t="shared" ref="Z22:AA22" si="49">SUM(Z20:Z21)</f>
        <v>545571853.80999994</v>
      </c>
      <c r="AA22" s="22">
        <f t="shared" si="49"/>
        <v>545606184.25999999</v>
      </c>
      <c r="AB22" s="22">
        <f t="shared" ref="AB22:AG22" si="50">SUM(AB20:AB21)</f>
        <v>545639401.04999995</v>
      </c>
      <c r="AC22" s="22">
        <f t="shared" si="50"/>
        <v>545673536.94000006</v>
      </c>
      <c r="AD22" s="22">
        <f t="shared" si="50"/>
        <v>545706455.11000001</v>
      </c>
      <c r="AE22" s="22">
        <f t="shared" si="50"/>
        <v>545744525.02999997</v>
      </c>
      <c r="AF22" s="22">
        <f t="shared" si="50"/>
        <v>545774491.97000003</v>
      </c>
      <c r="AG22" s="22">
        <f t="shared" si="50"/>
        <v>545806559.44000006</v>
      </c>
      <c r="AH22" s="22">
        <f t="shared" ref="AH22:AI22" si="51">SUM(AH20:AH21)</f>
        <v>545896677.51999998</v>
      </c>
      <c r="AI22" s="22">
        <f t="shared" si="51"/>
        <v>545983935.63</v>
      </c>
      <c r="AJ22" s="22">
        <f t="shared" ref="AJ22:AK22" si="52">SUM(AJ20:AJ21)</f>
        <v>546011635.00999999</v>
      </c>
      <c r="AK22" s="82">
        <f t="shared" si="52"/>
        <v>546039470.36000001</v>
      </c>
      <c r="AL22" s="82">
        <f t="shared" ref="AL22:AM22" si="53">SUM(AL20:AL21)</f>
        <v>546065555.42999995</v>
      </c>
      <c r="AM22" s="91">
        <f t="shared" si="53"/>
        <v>546092070.44000006</v>
      </c>
      <c r="AN22" s="91">
        <f t="shared" ref="AN22:AQ22" si="54">SUM(AN20:AN21)</f>
        <v>546117263.24000001</v>
      </c>
      <c r="AO22" s="91">
        <f t="shared" si="54"/>
        <v>546139938.05999994</v>
      </c>
      <c r="AP22" s="91">
        <f t="shared" si="54"/>
        <v>546164695.54999995</v>
      </c>
      <c r="AQ22" s="91">
        <f t="shared" si="54"/>
        <v>546188695.05999994</v>
      </c>
      <c r="AR22" s="91">
        <f t="shared" ref="AR22:AS22" si="55">SUM(AR20:AR21)</f>
        <v>546212862.52999997</v>
      </c>
      <c r="AS22" s="91">
        <f t="shared" si="55"/>
        <v>546237155.65999997</v>
      </c>
      <c r="AT22" s="91">
        <f t="shared" ref="AT22:AU22" si="56">SUM(AT20:AT21)</f>
        <v>546262762.82000005</v>
      </c>
      <c r="AU22" s="91">
        <f t="shared" si="56"/>
        <v>546287901.90999997</v>
      </c>
      <c r="AV22" s="91">
        <f t="shared" ref="AV22:AW22" si="57">SUM(AV20:AV21)</f>
        <v>546312378.41999996</v>
      </c>
      <c r="AW22" s="91">
        <f t="shared" si="57"/>
        <v>546336122.36000001</v>
      </c>
      <c r="AX22" s="91">
        <f t="shared" ref="AX22" si="58">SUM(AX20:AX21)</f>
        <v>546359622.66999996</v>
      </c>
    </row>
    <row r="23" spans="2:50" s="15" customFormat="1">
      <c r="B23" s="13"/>
      <c r="C23" s="10"/>
      <c r="D23" s="10"/>
      <c r="E23" s="10"/>
      <c r="F23" s="10"/>
      <c r="G23" s="10"/>
      <c r="H23" s="10"/>
      <c r="I23" s="10"/>
      <c r="J23" s="10"/>
      <c r="K23" s="10"/>
      <c r="L23" s="10"/>
      <c r="M23" s="10"/>
      <c r="N23" s="10"/>
      <c r="O23" s="10"/>
      <c r="P23" s="10"/>
      <c r="Q23" s="10"/>
      <c r="R23" s="10"/>
      <c r="S23" s="10"/>
      <c r="T23" s="10"/>
      <c r="U23" s="10"/>
      <c r="V23" s="10"/>
      <c r="W23" s="54"/>
      <c r="X23" s="54"/>
      <c r="Y23" s="54"/>
      <c r="Z23" s="54"/>
      <c r="AA23" s="54"/>
      <c r="AB23" s="54"/>
      <c r="AC23" s="54"/>
      <c r="AD23" s="54"/>
      <c r="AE23" s="54"/>
      <c r="AF23" s="54"/>
      <c r="AG23" s="54"/>
      <c r="AH23" s="54"/>
      <c r="AI23" s="54"/>
      <c r="AJ23" s="54"/>
      <c r="AK23" s="82"/>
      <c r="AL23" s="82"/>
      <c r="AM23" s="91"/>
      <c r="AN23" s="91"/>
      <c r="AO23" s="91"/>
      <c r="AP23" s="91"/>
      <c r="AQ23" s="91"/>
      <c r="AR23" s="91"/>
      <c r="AS23" s="91"/>
      <c r="AT23" s="91"/>
      <c r="AU23" s="91"/>
      <c r="AV23" s="91"/>
      <c r="AW23" s="91"/>
      <c r="AX23" s="91"/>
    </row>
    <row r="24" spans="2:50">
      <c r="B24" s="29" t="s">
        <v>8</v>
      </c>
      <c r="F24" s="7"/>
      <c r="AD24" s="25"/>
      <c r="AE24" s="25"/>
      <c r="AF24" s="25"/>
      <c r="AG24" s="25"/>
      <c r="AH24" s="25"/>
      <c r="AI24" s="25"/>
      <c r="AJ24" s="25"/>
    </row>
    <row r="25" spans="2:50">
      <c r="B25" s="16" t="s">
        <v>34</v>
      </c>
      <c r="C25" s="10">
        <v>0</v>
      </c>
      <c r="D25" s="10">
        <v>0</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9">
        <v>151191199</v>
      </c>
      <c r="X25" s="9">
        <v>151191199</v>
      </c>
      <c r="Y25" s="9">
        <v>151191199</v>
      </c>
      <c r="Z25" s="9">
        <v>151191199</v>
      </c>
      <c r="AA25" s="9">
        <v>151191199</v>
      </c>
      <c r="AB25" s="9">
        <v>151191199</v>
      </c>
      <c r="AC25" s="9">
        <v>154792221</v>
      </c>
      <c r="AD25" s="9">
        <v>154792221</v>
      </c>
      <c r="AE25" s="9">
        <v>154792221</v>
      </c>
      <c r="AF25" s="9">
        <v>154792221</v>
      </c>
      <c r="AG25" s="9">
        <v>154792221</v>
      </c>
      <c r="AH25" s="9">
        <v>154792221</v>
      </c>
      <c r="AI25" s="9">
        <v>154792221</v>
      </c>
      <c r="AJ25" s="9">
        <v>154792221</v>
      </c>
      <c r="AK25" s="79">
        <v>154792221</v>
      </c>
      <c r="AL25" s="79">
        <v>154792221</v>
      </c>
      <c r="AM25" s="90">
        <v>154792221</v>
      </c>
      <c r="AN25" s="90">
        <v>154792221</v>
      </c>
      <c r="AO25" s="90">
        <v>154792221</v>
      </c>
      <c r="AP25" s="90">
        <v>154792221</v>
      </c>
      <c r="AQ25" s="90">
        <v>154792221</v>
      </c>
      <c r="AR25" s="90">
        <v>154792221</v>
      </c>
      <c r="AS25" s="90">
        <v>327722142</v>
      </c>
      <c r="AT25" s="90">
        <v>327675517</v>
      </c>
      <c r="AU25" s="90">
        <v>327675517</v>
      </c>
      <c r="AV25" s="90">
        <v>327675517</v>
      </c>
      <c r="AW25" s="90">
        <v>327675517</v>
      </c>
      <c r="AX25" s="90">
        <v>327675517</v>
      </c>
    </row>
    <row r="26" spans="2:50">
      <c r="B26" s="30" t="s">
        <v>36</v>
      </c>
      <c r="C26" s="21">
        <f>800000000+25000000+40000000</f>
        <v>865000000</v>
      </c>
      <c r="D26" s="21">
        <f t="shared" ref="D26:I26" si="59">800000000+25000000+40000000</f>
        <v>865000000</v>
      </c>
      <c r="E26" s="21">
        <f t="shared" si="59"/>
        <v>865000000</v>
      </c>
      <c r="F26" s="21">
        <f t="shared" si="59"/>
        <v>865000000</v>
      </c>
      <c r="G26" s="21">
        <f t="shared" si="59"/>
        <v>865000000</v>
      </c>
      <c r="H26" s="21">
        <f t="shared" si="59"/>
        <v>865000000</v>
      </c>
      <c r="I26" s="21">
        <f t="shared" si="59"/>
        <v>865000000</v>
      </c>
      <c r="J26" s="21">
        <f>800000000+25000000+40000000+40000000+200000000+10000000</f>
        <v>1115000000</v>
      </c>
      <c r="K26" s="21">
        <f t="shared" ref="K26:V26" si="60">800000000+25000000+40000000+40000000+200000000+10000000</f>
        <v>1115000000</v>
      </c>
      <c r="L26" s="21">
        <f t="shared" si="60"/>
        <v>1115000000</v>
      </c>
      <c r="M26" s="21">
        <f t="shared" si="60"/>
        <v>1115000000</v>
      </c>
      <c r="N26" s="21">
        <f t="shared" si="60"/>
        <v>1115000000</v>
      </c>
      <c r="O26" s="21">
        <f t="shared" si="60"/>
        <v>1115000000</v>
      </c>
      <c r="P26" s="21">
        <f t="shared" si="60"/>
        <v>1115000000</v>
      </c>
      <c r="Q26" s="21">
        <f t="shared" si="60"/>
        <v>1115000000</v>
      </c>
      <c r="R26" s="21">
        <f t="shared" si="60"/>
        <v>1115000000</v>
      </c>
      <c r="S26" s="21">
        <f t="shared" si="60"/>
        <v>1115000000</v>
      </c>
      <c r="T26" s="21">
        <f t="shared" si="60"/>
        <v>1115000000</v>
      </c>
      <c r="U26" s="21">
        <f t="shared" si="60"/>
        <v>1115000000</v>
      </c>
      <c r="V26" s="21">
        <f t="shared" si="60"/>
        <v>1115000000</v>
      </c>
      <c r="W26" s="17">
        <v>1115000000</v>
      </c>
      <c r="X26" s="17">
        <v>1115000000</v>
      </c>
      <c r="Y26" s="17">
        <v>1115000000</v>
      </c>
      <c r="Z26" s="17">
        <v>1115000000</v>
      </c>
      <c r="AA26" s="17">
        <v>1115000000</v>
      </c>
      <c r="AB26" s="17">
        <v>1115000000</v>
      </c>
      <c r="AC26" s="17">
        <v>1115000000</v>
      </c>
      <c r="AD26" s="17">
        <v>1115000000</v>
      </c>
      <c r="AE26" s="17">
        <v>1115000000</v>
      </c>
      <c r="AF26" s="17">
        <v>1115000000</v>
      </c>
      <c r="AG26" s="17">
        <v>1115000000</v>
      </c>
      <c r="AH26" s="17">
        <v>1115000000</v>
      </c>
      <c r="AI26" s="17">
        <v>1115000000</v>
      </c>
      <c r="AJ26" s="17">
        <v>1115000000</v>
      </c>
      <c r="AK26" s="81">
        <v>1115000000</v>
      </c>
      <c r="AL26" s="81">
        <v>1115000000</v>
      </c>
      <c r="AM26" s="93">
        <v>1115000000</v>
      </c>
      <c r="AN26" s="93">
        <v>1115000000</v>
      </c>
      <c r="AO26" s="93">
        <v>1115000000</v>
      </c>
      <c r="AP26" s="93">
        <v>1115000000</v>
      </c>
      <c r="AQ26" s="93">
        <v>1115000000</v>
      </c>
      <c r="AR26" s="93">
        <v>1115000000</v>
      </c>
      <c r="AS26" s="93">
        <v>1115000000</v>
      </c>
      <c r="AT26" s="93">
        <v>1115000000</v>
      </c>
      <c r="AU26" s="93">
        <v>1115000000</v>
      </c>
      <c r="AV26" s="93">
        <v>1115000000</v>
      </c>
      <c r="AW26" s="93">
        <v>1115000000</v>
      </c>
      <c r="AX26" s="93">
        <v>1115000000</v>
      </c>
    </row>
    <row r="27" spans="2:50" s="15" customFormat="1">
      <c r="B27" s="31" t="s">
        <v>39</v>
      </c>
      <c r="C27" s="22">
        <f>SUM(C25:C26)</f>
        <v>865000000</v>
      </c>
      <c r="D27" s="22">
        <f t="shared" ref="D27:N27" si="61">SUM(D25:D26)</f>
        <v>865000000</v>
      </c>
      <c r="E27" s="22">
        <f t="shared" si="61"/>
        <v>865000000</v>
      </c>
      <c r="F27" s="22">
        <f t="shared" si="61"/>
        <v>865000000</v>
      </c>
      <c r="G27" s="22">
        <f t="shared" si="61"/>
        <v>865000000</v>
      </c>
      <c r="H27" s="22">
        <f t="shared" si="61"/>
        <v>865000000</v>
      </c>
      <c r="I27" s="22">
        <f t="shared" si="61"/>
        <v>865000000</v>
      </c>
      <c r="J27" s="22">
        <f t="shared" si="61"/>
        <v>1115000000</v>
      </c>
      <c r="K27" s="22">
        <f t="shared" si="61"/>
        <v>1115000000</v>
      </c>
      <c r="L27" s="22">
        <f t="shared" si="61"/>
        <v>1115000000</v>
      </c>
      <c r="M27" s="22">
        <f t="shared" si="61"/>
        <v>1115000000</v>
      </c>
      <c r="N27" s="22">
        <f t="shared" si="61"/>
        <v>1115000000</v>
      </c>
      <c r="O27" s="22">
        <f t="shared" ref="O27:P27" si="62">SUM(O25:O26)</f>
        <v>1115000000</v>
      </c>
      <c r="P27" s="22">
        <f t="shared" si="62"/>
        <v>1115000000</v>
      </c>
      <c r="Q27" s="22">
        <f t="shared" ref="Q27" si="63">SUM(Q25:Q26)</f>
        <v>1115000000</v>
      </c>
      <c r="R27" s="22">
        <f t="shared" ref="R27:S27" si="64">SUM(R25:R26)</f>
        <v>1115000000</v>
      </c>
      <c r="S27" s="22">
        <f t="shared" si="64"/>
        <v>1115000000</v>
      </c>
      <c r="T27" s="22">
        <f t="shared" ref="T27:U27" si="65">SUM(T25:T26)</f>
        <v>1115000000</v>
      </c>
      <c r="U27" s="22">
        <f t="shared" si="65"/>
        <v>1115000000</v>
      </c>
      <c r="V27" s="22">
        <f t="shared" ref="V27:W27" si="66">SUM(V25:V26)</f>
        <v>1115000000</v>
      </c>
      <c r="W27" s="22">
        <f t="shared" si="66"/>
        <v>1266191199</v>
      </c>
      <c r="X27" s="22">
        <f t="shared" ref="X27:Y27" si="67">SUM(X25:X26)</f>
        <v>1266191199</v>
      </c>
      <c r="Y27" s="22">
        <f t="shared" si="67"/>
        <v>1266191199</v>
      </c>
      <c r="Z27" s="22">
        <f t="shared" ref="Z27:AA27" si="68">SUM(Z25:Z26)</f>
        <v>1266191199</v>
      </c>
      <c r="AA27" s="22">
        <f t="shared" si="68"/>
        <v>1266191199</v>
      </c>
      <c r="AB27" s="22">
        <f t="shared" ref="AB27:AG27" si="69">SUM(AB25:AB26)</f>
        <v>1266191199</v>
      </c>
      <c r="AC27" s="22">
        <f t="shared" si="69"/>
        <v>1269792221</v>
      </c>
      <c r="AD27" s="22">
        <f t="shared" si="69"/>
        <v>1269792221</v>
      </c>
      <c r="AE27" s="22">
        <f t="shared" si="69"/>
        <v>1269792221</v>
      </c>
      <c r="AF27" s="22">
        <f t="shared" si="69"/>
        <v>1269792221</v>
      </c>
      <c r="AG27" s="22">
        <f t="shared" si="69"/>
        <v>1269792221</v>
      </c>
      <c r="AH27" s="22">
        <f t="shared" ref="AH27:AI27" si="70">SUM(AH25:AH26)</f>
        <v>1269792221</v>
      </c>
      <c r="AI27" s="22">
        <f t="shared" si="70"/>
        <v>1269792221</v>
      </c>
      <c r="AJ27" s="22">
        <f t="shared" ref="AJ27:AK27" si="71">SUM(AJ25:AJ26)</f>
        <v>1269792221</v>
      </c>
      <c r="AK27" s="82">
        <f t="shared" si="71"/>
        <v>1269792221</v>
      </c>
      <c r="AL27" s="82">
        <f t="shared" ref="AL27:AM27" si="72">SUM(AL25:AL26)</f>
        <v>1269792221</v>
      </c>
      <c r="AM27" s="91">
        <f t="shared" si="72"/>
        <v>1269792221</v>
      </c>
      <c r="AN27" s="91">
        <f t="shared" ref="AN27:AQ27" si="73">SUM(AN25:AN26)</f>
        <v>1269792221</v>
      </c>
      <c r="AO27" s="91">
        <f t="shared" si="73"/>
        <v>1269792221</v>
      </c>
      <c r="AP27" s="91">
        <f t="shared" si="73"/>
        <v>1269792221</v>
      </c>
      <c r="AQ27" s="91">
        <f t="shared" si="73"/>
        <v>1269792221</v>
      </c>
      <c r="AR27" s="91">
        <f t="shared" ref="AR27:AS27" si="74">SUM(AR25:AR26)</f>
        <v>1269792221</v>
      </c>
      <c r="AS27" s="91">
        <f t="shared" si="74"/>
        <v>1442722142</v>
      </c>
      <c r="AT27" s="91">
        <f t="shared" ref="AT27:AU27" si="75">SUM(AT25:AT26)</f>
        <v>1442675517</v>
      </c>
      <c r="AU27" s="91">
        <f t="shared" si="75"/>
        <v>1442675517</v>
      </c>
      <c r="AV27" s="91">
        <f t="shared" ref="AV27:AW27" si="76">SUM(AV25:AV26)</f>
        <v>1442675517</v>
      </c>
      <c r="AW27" s="91">
        <f t="shared" si="76"/>
        <v>1442675517</v>
      </c>
      <c r="AX27" s="91">
        <f t="shared" ref="AX27" si="77">SUM(AX25:AX26)</f>
        <v>1442675517</v>
      </c>
    </row>
    <row r="28" spans="2:50" s="15" customFormat="1">
      <c r="B28" s="13"/>
      <c r="C28" s="22"/>
      <c r="D28" s="22"/>
      <c r="E28" s="22"/>
      <c r="F28" s="22"/>
      <c r="G28" s="22"/>
      <c r="H28" s="22"/>
      <c r="I28" s="22"/>
      <c r="J28" s="22"/>
      <c r="K28" s="22"/>
      <c r="L28" s="22"/>
      <c r="M28" s="22"/>
      <c r="N28" s="22"/>
      <c r="O28" s="22"/>
      <c r="P28" s="22"/>
      <c r="Q28" s="22"/>
      <c r="R28" s="22"/>
      <c r="S28" s="22"/>
      <c r="T28" s="22"/>
      <c r="U28" s="22"/>
      <c r="V28" s="22"/>
      <c r="W28" s="54"/>
      <c r="X28" s="54"/>
      <c r="Y28" s="54"/>
      <c r="Z28" s="54"/>
      <c r="AA28" s="54"/>
      <c r="AB28" s="54"/>
      <c r="AC28" s="54"/>
      <c r="AD28" s="54"/>
      <c r="AE28" s="54"/>
      <c r="AF28" s="54"/>
      <c r="AG28" s="54"/>
      <c r="AH28" s="54"/>
      <c r="AI28" s="54"/>
      <c r="AJ28" s="54"/>
      <c r="AK28" s="82"/>
      <c r="AL28" s="82"/>
      <c r="AM28" s="91"/>
      <c r="AN28" s="91"/>
      <c r="AO28" s="91"/>
      <c r="AP28" s="91"/>
      <c r="AQ28" s="91"/>
      <c r="AR28" s="91"/>
      <c r="AS28" s="91"/>
      <c r="AT28" s="91"/>
      <c r="AU28" s="91"/>
      <c r="AV28" s="91"/>
      <c r="AW28" s="91"/>
      <c r="AX28" s="91"/>
    </row>
    <row r="29" spans="2:50" s="15" customFormat="1">
      <c r="B29" s="29" t="s">
        <v>54</v>
      </c>
      <c r="C29" s="23">
        <v>0</v>
      </c>
      <c r="D29" s="23">
        <v>0</v>
      </c>
      <c r="E29" s="23">
        <v>0</v>
      </c>
      <c r="F29" s="23">
        <v>0</v>
      </c>
      <c r="G29" s="23">
        <v>0</v>
      </c>
      <c r="H29" s="23">
        <v>0</v>
      </c>
      <c r="I29" s="23">
        <v>0</v>
      </c>
      <c r="J29" s="23">
        <v>250000000</v>
      </c>
      <c r="K29" s="23">
        <v>250000000</v>
      </c>
      <c r="L29" s="23">
        <v>250000000</v>
      </c>
      <c r="M29" s="23">
        <v>250000000</v>
      </c>
      <c r="N29" s="23">
        <v>250000000</v>
      </c>
      <c r="O29" s="23">
        <v>250000000</v>
      </c>
      <c r="P29" s="23">
        <v>250000000</v>
      </c>
      <c r="Q29" s="23">
        <v>250000000</v>
      </c>
      <c r="R29" s="23">
        <v>250000000</v>
      </c>
      <c r="S29" s="23">
        <v>250000000</v>
      </c>
      <c r="T29" s="23">
        <v>250000000</v>
      </c>
      <c r="U29" s="23">
        <v>250000000</v>
      </c>
      <c r="V29" s="23">
        <v>250000000</v>
      </c>
      <c r="W29" s="23">
        <v>250000000</v>
      </c>
      <c r="X29" s="23">
        <v>250000000</v>
      </c>
      <c r="Y29" s="23">
        <v>250000000</v>
      </c>
      <c r="Z29" s="23">
        <v>250000000</v>
      </c>
      <c r="AA29" s="23">
        <v>250000000</v>
      </c>
      <c r="AB29" s="23">
        <v>250000000</v>
      </c>
      <c r="AC29" s="23">
        <v>250000000</v>
      </c>
      <c r="AD29" s="23">
        <v>250000000</v>
      </c>
      <c r="AE29" s="23">
        <v>250000000</v>
      </c>
      <c r="AF29" s="23">
        <v>250000000</v>
      </c>
      <c r="AG29" s="23">
        <v>250000000</v>
      </c>
      <c r="AH29" s="23">
        <v>250000000</v>
      </c>
      <c r="AI29" s="23">
        <v>250000000</v>
      </c>
      <c r="AJ29" s="23">
        <v>250000000</v>
      </c>
      <c r="AK29" s="83">
        <v>250000000</v>
      </c>
      <c r="AL29" s="83">
        <v>250000000</v>
      </c>
      <c r="AM29" s="92">
        <v>250000000</v>
      </c>
      <c r="AN29" s="92">
        <v>250000000</v>
      </c>
      <c r="AO29" s="92">
        <v>250000000</v>
      </c>
      <c r="AP29" s="92">
        <v>250000000</v>
      </c>
      <c r="AQ29" s="92">
        <v>250000000</v>
      </c>
      <c r="AR29" s="92">
        <v>250000000</v>
      </c>
      <c r="AS29" s="92">
        <v>250000000</v>
      </c>
      <c r="AT29" s="92">
        <v>250000000</v>
      </c>
      <c r="AU29" s="92">
        <v>250000000</v>
      </c>
      <c r="AV29" s="92">
        <v>250000000</v>
      </c>
      <c r="AW29" s="92">
        <v>250000000</v>
      </c>
      <c r="AX29" s="92">
        <v>250000000</v>
      </c>
    </row>
    <row r="30" spans="2:50">
      <c r="B30" s="19"/>
      <c r="C30" s="9"/>
      <c r="D30" s="9"/>
      <c r="E30" s="9"/>
      <c r="F30" s="9"/>
      <c r="G30" s="9"/>
      <c r="H30" s="9"/>
      <c r="I30" s="9"/>
      <c r="J30" s="9"/>
      <c r="K30" s="9"/>
      <c r="L30" s="9"/>
      <c r="M30" s="9"/>
      <c r="N30" s="9"/>
      <c r="O30" s="9"/>
      <c r="P30" s="9"/>
      <c r="Q30" s="9"/>
      <c r="R30" s="9"/>
      <c r="S30" s="9"/>
      <c r="T30" s="9"/>
      <c r="U30" s="9"/>
      <c r="V30" s="9"/>
      <c r="AD30" s="25"/>
      <c r="AE30" s="25"/>
      <c r="AF30" s="25"/>
      <c r="AG30" s="25"/>
      <c r="AH30" s="25"/>
      <c r="AI30" s="25"/>
      <c r="AJ30" s="25"/>
    </row>
    <row r="31" spans="2:50" s="15" customFormat="1">
      <c r="B31" s="29" t="s">
        <v>42</v>
      </c>
      <c r="W31" s="54"/>
      <c r="X31" s="54"/>
      <c r="Y31" s="54"/>
      <c r="Z31" s="54"/>
      <c r="AA31" s="54"/>
      <c r="AB31" s="54"/>
      <c r="AC31" s="54"/>
      <c r="AD31" s="54"/>
      <c r="AE31" s="54"/>
      <c r="AF31" s="54"/>
      <c r="AG31" s="54"/>
      <c r="AH31" s="54"/>
      <c r="AI31" s="54"/>
      <c r="AJ31" s="54"/>
      <c r="AK31" s="82"/>
      <c r="AL31" s="82"/>
      <c r="AM31" s="91"/>
      <c r="AN31" s="91"/>
      <c r="AO31" s="91"/>
      <c r="AP31" s="91"/>
      <c r="AQ31" s="91"/>
      <c r="AR31" s="91"/>
      <c r="AS31" s="91"/>
      <c r="AT31" s="91"/>
      <c r="AU31" s="91"/>
      <c r="AV31" s="91"/>
      <c r="AW31" s="91"/>
      <c r="AX31" s="91"/>
    </row>
    <row r="32" spans="2:50" s="15" customFormat="1">
      <c r="B32" s="16" t="s">
        <v>34</v>
      </c>
      <c r="C32" s="9">
        <v>5135624853.1000004</v>
      </c>
      <c r="D32" s="9">
        <v>5135624853.1000004</v>
      </c>
      <c r="E32" s="9">
        <v>5135624853.1000004</v>
      </c>
      <c r="F32" s="9">
        <v>5135624853.1000004</v>
      </c>
      <c r="G32" s="9">
        <v>5135624853.1000004</v>
      </c>
      <c r="H32" s="9">
        <v>5135624853.1000004</v>
      </c>
      <c r="I32" s="9">
        <v>5135624853.1000004</v>
      </c>
      <c r="J32" s="9">
        <v>5135624853.1000004</v>
      </c>
      <c r="K32" s="9">
        <v>5135624853.1000004</v>
      </c>
      <c r="L32" s="9">
        <v>5135624853.1000004</v>
      </c>
      <c r="M32" s="9">
        <v>5135624853.1000004</v>
      </c>
      <c r="N32" s="9">
        <v>5135624853.1000004</v>
      </c>
      <c r="O32" s="9">
        <v>5135624853.1000004</v>
      </c>
      <c r="P32" s="9">
        <v>5135624853.1000004</v>
      </c>
      <c r="Q32" s="9">
        <v>5135624853.1000004</v>
      </c>
      <c r="R32" s="9">
        <v>5135624853.1000004</v>
      </c>
      <c r="S32" s="9">
        <v>5135624853.1000004</v>
      </c>
      <c r="T32" s="9">
        <v>5135624853.1000004</v>
      </c>
      <c r="U32" s="9">
        <v>5135624853.1000004</v>
      </c>
      <c r="V32" s="9">
        <v>5135624853.1000004</v>
      </c>
      <c r="W32" s="56">
        <v>5135624853.1000004</v>
      </c>
      <c r="X32" s="56">
        <v>5135624853.1000004</v>
      </c>
      <c r="Y32" s="56">
        <v>5135624853.1000004</v>
      </c>
      <c r="Z32" s="56">
        <v>5135624853.1000004</v>
      </c>
      <c r="AA32" s="56">
        <v>5135624853.1000004</v>
      </c>
      <c r="AB32" s="56">
        <v>5135624853.1000004</v>
      </c>
      <c r="AC32" s="56">
        <v>5135624853.1000004</v>
      </c>
      <c r="AD32" s="56">
        <v>5135624853.1000004</v>
      </c>
      <c r="AE32" s="56">
        <v>5135624853.1000004</v>
      </c>
      <c r="AF32" s="56">
        <v>5135624853.1000004</v>
      </c>
      <c r="AG32" s="56">
        <v>5135624853.1000004</v>
      </c>
      <c r="AH32" s="56">
        <v>5135624853.1000004</v>
      </c>
      <c r="AI32" s="56">
        <v>5135624853.1000004</v>
      </c>
      <c r="AJ32" s="56">
        <v>5135624853.1000004</v>
      </c>
      <c r="AK32" s="84">
        <v>5135624853.1000004</v>
      </c>
      <c r="AL32" s="84">
        <v>5135624853.1000004</v>
      </c>
      <c r="AM32" s="105">
        <v>5135624853.1000004</v>
      </c>
      <c r="AN32" s="105">
        <v>5135624853.1000004</v>
      </c>
      <c r="AO32" s="105">
        <v>5135624853.1000004</v>
      </c>
      <c r="AP32" s="91">
        <v>5135624853.1000004</v>
      </c>
      <c r="AQ32" s="91">
        <v>5135624853.1000004</v>
      </c>
      <c r="AR32" s="91">
        <v>5135624853.1000004</v>
      </c>
      <c r="AS32" s="91">
        <v>5135624853.1000004</v>
      </c>
      <c r="AT32" s="91">
        <v>5135624853.1000004</v>
      </c>
      <c r="AU32" s="91">
        <v>5135624853.1000004</v>
      </c>
      <c r="AV32" s="91">
        <v>5135624853.1000004</v>
      </c>
      <c r="AW32" s="91">
        <v>5135624853.1000004</v>
      </c>
      <c r="AX32" s="91">
        <v>5135624853.1000004</v>
      </c>
    </row>
    <row r="33" spans="2:51" s="15" customFormat="1">
      <c r="B33" s="30" t="s">
        <v>32</v>
      </c>
      <c r="C33" s="17">
        <v>6633456.7199999997</v>
      </c>
      <c r="D33" s="17">
        <f>C33+52516.59</f>
        <v>6685973.3099999996</v>
      </c>
      <c r="E33" s="17">
        <f>D33+57442.02</f>
        <v>6743415.3299999991</v>
      </c>
      <c r="F33" s="17">
        <f>E33+62659.53</f>
        <v>6806074.8599999994</v>
      </c>
      <c r="G33" s="17">
        <f>F33+63814.39</f>
        <v>6869889.2499999991</v>
      </c>
      <c r="H33" s="17">
        <f>G33+9745.1</f>
        <v>6879634.3499999987</v>
      </c>
      <c r="I33" s="17">
        <f>H33+11881.97</f>
        <v>6891516.3199999984</v>
      </c>
      <c r="J33" s="17">
        <f>I33+19596.88</f>
        <v>6911113.1999999983</v>
      </c>
      <c r="K33" s="17">
        <f>J33+10.08</f>
        <v>6911123.2799999984</v>
      </c>
      <c r="L33" s="17">
        <f>K33+12.17</f>
        <v>6911135.4499999983</v>
      </c>
      <c r="M33" s="17">
        <f>L33+17.27</f>
        <v>6911152.7199999979</v>
      </c>
      <c r="N33" s="17">
        <f>M33+0</f>
        <v>6911152.7199999979</v>
      </c>
      <c r="O33" s="17">
        <f>N33+0</f>
        <v>6911152.7199999979</v>
      </c>
      <c r="P33" s="17">
        <v>6911152.79</v>
      </c>
      <c r="Q33" s="17">
        <v>6911152.79</v>
      </c>
      <c r="R33" s="17">
        <v>6911152.79</v>
      </c>
      <c r="S33" s="17">
        <v>6911152.79</v>
      </c>
      <c r="T33" s="17">
        <v>6911152.79</v>
      </c>
      <c r="U33" s="17">
        <v>6911153.0800000001</v>
      </c>
      <c r="V33" s="17">
        <v>6911153.0800000001</v>
      </c>
      <c r="W33" s="57">
        <v>6911153.0800000001</v>
      </c>
      <c r="X33" s="57">
        <v>6911153.0800000001</v>
      </c>
      <c r="Y33" s="57">
        <v>6911153.0800000001</v>
      </c>
      <c r="Z33" s="57">
        <v>6911153.0800000001</v>
      </c>
      <c r="AA33" s="57">
        <v>6911153.0800000001</v>
      </c>
      <c r="AB33" s="57">
        <v>6911153.0800000001</v>
      </c>
      <c r="AC33" s="57">
        <v>6911153.0800000001</v>
      </c>
      <c r="AD33" s="57">
        <v>6911153.9199999999</v>
      </c>
      <c r="AE33" s="57">
        <v>6911154.0199999902</v>
      </c>
      <c r="AF33" s="57">
        <v>6911154.1100000003</v>
      </c>
      <c r="AG33" s="57">
        <v>6911154.1900000004</v>
      </c>
      <c r="AH33" s="57">
        <v>6911154.1900000004</v>
      </c>
      <c r="AI33" s="57">
        <v>6911154.8299999908</v>
      </c>
      <c r="AJ33" s="57">
        <v>6911154.8999999901</v>
      </c>
      <c r="AK33" s="89">
        <v>6911155.0999999996</v>
      </c>
      <c r="AL33" s="89">
        <v>6911155.0999999996</v>
      </c>
      <c r="AM33" s="106">
        <v>6911155.1900000004</v>
      </c>
      <c r="AN33" s="106">
        <v>6911155.1900000004</v>
      </c>
      <c r="AO33" s="106">
        <v>6911155.3600000003</v>
      </c>
      <c r="AP33" s="92">
        <v>6911155.4299999904</v>
      </c>
      <c r="AQ33" s="92">
        <v>6911155.5099999905</v>
      </c>
      <c r="AR33" s="92">
        <v>6911155.5999999903</v>
      </c>
      <c r="AS33" s="92">
        <v>6911155.6699999897</v>
      </c>
      <c r="AT33" s="92">
        <v>6911155.73999999</v>
      </c>
      <c r="AU33" s="92">
        <v>6911155.8299999898</v>
      </c>
      <c r="AV33" s="92">
        <v>6911155.9099999899</v>
      </c>
      <c r="AW33" s="92">
        <v>6911155.9799999902</v>
      </c>
      <c r="AX33" s="92">
        <v>6911156.0399999898</v>
      </c>
    </row>
    <row r="34" spans="2:51" s="15" customFormat="1">
      <c r="B34" s="29" t="s">
        <v>41</v>
      </c>
      <c r="C34" s="20">
        <f>SUM(C32:C33)</f>
        <v>5142258309.8200006</v>
      </c>
      <c r="D34" s="20">
        <f t="shared" ref="D34:N34" si="78">SUM(D32:D33)</f>
        <v>5142310826.4100008</v>
      </c>
      <c r="E34" s="20">
        <f t="shared" si="78"/>
        <v>5142368268.4300003</v>
      </c>
      <c r="F34" s="20">
        <f t="shared" si="78"/>
        <v>5142430927.96</v>
      </c>
      <c r="G34" s="20">
        <f t="shared" si="78"/>
        <v>5142494742.3500004</v>
      </c>
      <c r="H34" s="20">
        <f t="shared" si="78"/>
        <v>5142504487.4500008</v>
      </c>
      <c r="I34" s="20">
        <f t="shared" si="78"/>
        <v>5142516369.4200001</v>
      </c>
      <c r="J34" s="20">
        <f t="shared" si="78"/>
        <v>5142535966.3000002</v>
      </c>
      <c r="K34" s="20">
        <f t="shared" si="78"/>
        <v>5142535976.3800001</v>
      </c>
      <c r="L34" s="20">
        <f t="shared" si="78"/>
        <v>5142535988.5500002</v>
      </c>
      <c r="M34" s="20">
        <f t="shared" si="78"/>
        <v>5142536005.8200006</v>
      </c>
      <c r="N34" s="20">
        <f t="shared" si="78"/>
        <v>5142536005.8200006</v>
      </c>
      <c r="O34" s="20">
        <f t="shared" ref="O34:P34" si="79">SUM(O32:O33)</f>
        <v>5142536005.8200006</v>
      </c>
      <c r="P34" s="20">
        <f t="shared" si="79"/>
        <v>5142536005.8900003</v>
      </c>
      <c r="Q34" s="20">
        <f t="shared" ref="Q34" si="80">SUM(Q32:Q33)</f>
        <v>5142536005.8900003</v>
      </c>
      <c r="R34" s="20">
        <f t="shared" ref="R34:S34" si="81">SUM(R32:R33)</f>
        <v>5142536005.8900003</v>
      </c>
      <c r="S34" s="20">
        <f t="shared" si="81"/>
        <v>5142536005.8900003</v>
      </c>
      <c r="T34" s="20">
        <f t="shared" ref="T34:U34" si="82">SUM(T32:T33)</f>
        <v>5142536005.8900003</v>
      </c>
      <c r="U34" s="20">
        <f t="shared" si="82"/>
        <v>5142536006.1800003</v>
      </c>
      <c r="V34" s="20">
        <f t="shared" ref="V34:W34" si="83">SUM(V32:V33)</f>
        <v>5142536006.1800003</v>
      </c>
      <c r="W34" s="20">
        <f t="shared" si="83"/>
        <v>5142536006.1800003</v>
      </c>
      <c r="X34" s="20">
        <f t="shared" ref="X34:Y34" si="84">SUM(X32:X33)</f>
        <v>5142536006.1800003</v>
      </c>
      <c r="Y34" s="20">
        <f t="shared" si="84"/>
        <v>5142536006.1800003</v>
      </c>
      <c r="Z34" s="20">
        <f t="shared" ref="Z34:AA34" si="85">SUM(Z32:Z33)</f>
        <v>5142536006.1800003</v>
      </c>
      <c r="AA34" s="20">
        <f t="shared" si="85"/>
        <v>5142536006.1800003</v>
      </c>
      <c r="AB34" s="20">
        <f t="shared" ref="AB34:AG34" si="86">SUM(AB32:AB33)</f>
        <v>5142536006.1800003</v>
      </c>
      <c r="AC34" s="20">
        <f t="shared" si="86"/>
        <v>5142536006.1800003</v>
      </c>
      <c r="AD34" s="20">
        <f t="shared" si="86"/>
        <v>5142536007.0200005</v>
      </c>
      <c r="AE34" s="20">
        <f t="shared" si="86"/>
        <v>5142536007.1200008</v>
      </c>
      <c r="AF34" s="20">
        <f t="shared" si="86"/>
        <v>5142536007.21</v>
      </c>
      <c r="AG34" s="20">
        <f t="shared" si="86"/>
        <v>5142536007.29</v>
      </c>
      <c r="AH34" s="20">
        <f t="shared" ref="AH34:AI34" si="87">SUM(AH32:AH33)</f>
        <v>5142536007.29</v>
      </c>
      <c r="AI34" s="20">
        <f t="shared" si="87"/>
        <v>5142536007.9300003</v>
      </c>
      <c r="AJ34" s="20">
        <f t="shared" ref="AJ34:AK34" si="88">SUM(AJ32:AJ33)</f>
        <v>5142536008</v>
      </c>
      <c r="AK34" s="85">
        <f t="shared" si="88"/>
        <v>5142536008.2000008</v>
      </c>
      <c r="AL34" s="85">
        <f t="shared" ref="AL34:AM34" si="89">SUM(AL32:AL33)</f>
        <v>5142536008.2000008</v>
      </c>
      <c r="AM34" s="104">
        <f t="shared" si="89"/>
        <v>5142536008.29</v>
      </c>
      <c r="AN34" s="104">
        <f t="shared" ref="AN34:AQ34" si="90">SUM(AN32:AN33)</f>
        <v>5142536008.29</v>
      </c>
      <c r="AO34" s="104">
        <f t="shared" si="90"/>
        <v>5142536008.46</v>
      </c>
      <c r="AP34" s="104">
        <f t="shared" si="90"/>
        <v>5142536008.5300007</v>
      </c>
      <c r="AQ34" s="104">
        <f t="shared" si="90"/>
        <v>5142536008.6100006</v>
      </c>
      <c r="AR34" s="104">
        <f t="shared" ref="AR34:AS34" si="91">SUM(AR32:AR33)</f>
        <v>5142536008.7000008</v>
      </c>
      <c r="AS34" s="104">
        <f t="shared" si="91"/>
        <v>5142536008.7700005</v>
      </c>
      <c r="AT34" s="104">
        <f t="shared" ref="AT34:AU34" si="92">SUM(AT32:AT33)</f>
        <v>5142536008.8400002</v>
      </c>
      <c r="AU34" s="104">
        <f t="shared" si="92"/>
        <v>5142536008.9300003</v>
      </c>
      <c r="AV34" s="104">
        <f t="shared" ref="AV34:AW34" si="93">SUM(AV32:AV33)</f>
        <v>5142536009.0100002</v>
      </c>
      <c r="AW34" s="104">
        <f t="shared" si="93"/>
        <v>5142536009.0799999</v>
      </c>
      <c r="AX34" s="104">
        <f t="shared" ref="AX34" si="94">SUM(AX32:AX33)</f>
        <v>5142536009.1400003</v>
      </c>
    </row>
    <row r="35" spans="2:51">
      <c r="B35" s="13"/>
      <c r="C35" s="9"/>
      <c r="D35" s="9"/>
      <c r="E35" s="9"/>
      <c r="F35" s="9"/>
      <c r="G35" s="9"/>
      <c r="H35" s="9"/>
      <c r="I35" s="9"/>
      <c r="J35" s="9"/>
      <c r="K35" s="9"/>
      <c r="L35" s="9"/>
      <c r="M35" s="9"/>
      <c r="N35" s="9"/>
      <c r="O35" s="9"/>
      <c r="P35" s="9"/>
      <c r="Q35" s="9"/>
      <c r="R35" s="9"/>
      <c r="S35" s="9"/>
      <c r="T35" s="9"/>
      <c r="U35" s="9"/>
      <c r="V35" s="9"/>
      <c r="AD35" s="25"/>
      <c r="AE35" s="25"/>
      <c r="AF35" s="25"/>
      <c r="AG35" s="25"/>
      <c r="AH35" s="25"/>
      <c r="AI35" s="25"/>
      <c r="AJ35" s="25"/>
    </row>
    <row r="36" spans="2:51" s="15" customFormat="1" ht="29">
      <c r="B36" s="29" t="s">
        <v>56</v>
      </c>
      <c r="C36" s="23">
        <v>2100000000</v>
      </c>
      <c r="D36" s="23">
        <v>2100000000</v>
      </c>
      <c r="E36" s="23">
        <v>2100000000</v>
      </c>
      <c r="F36" s="23">
        <v>2100000000</v>
      </c>
      <c r="G36" s="23">
        <v>2100000000</v>
      </c>
      <c r="H36" s="23">
        <v>2100000000</v>
      </c>
      <c r="I36" s="23">
        <v>2100000000</v>
      </c>
      <c r="J36" s="23">
        <v>2100000000</v>
      </c>
      <c r="K36" s="23">
        <v>2100000000</v>
      </c>
      <c r="L36" s="23">
        <v>2100000000</v>
      </c>
      <c r="M36" s="23">
        <v>2100000000</v>
      </c>
      <c r="N36" s="23">
        <v>2100000000</v>
      </c>
      <c r="O36" s="23">
        <v>2100000000</v>
      </c>
      <c r="P36" s="23">
        <v>2100000000</v>
      </c>
      <c r="Q36" s="23">
        <v>2100000000</v>
      </c>
      <c r="R36" s="23">
        <v>2100000000</v>
      </c>
      <c r="S36" s="23">
        <v>2100000000</v>
      </c>
      <c r="T36" s="23">
        <v>2100000000</v>
      </c>
      <c r="U36" s="23">
        <v>2100000000</v>
      </c>
      <c r="V36" s="23">
        <v>2100000000</v>
      </c>
      <c r="W36" s="14">
        <v>2100000000</v>
      </c>
      <c r="X36" s="14">
        <v>2100000000</v>
      </c>
      <c r="Y36" s="14">
        <v>2100000000</v>
      </c>
      <c r="Z36" s="14">
        <v>2100000000</v>
      </c>
      <c r="AA36" s="14">
        <v>2100000000</v>
      </c>
      <c r="AB36" s="14">
        <v>2100000000</v>
      </c>
      <c r="AC36" s="14">
        <v>2100000000</v>
      </c>
      <c r="AD36" s="14">
        <v>2100000000</v>
      </c>
      <c r="AE36" s="14">
        <v>2100000000</v>
      </c>
      <c r="AF36" s="14">
        <v>2100000000</v>
      </c>
      <c r="AG36" s="14">
        <v>2100000000</v>
      </c>
      <c r="AH36" s="14">
        <v>2100000000</v>
      </c>
      <c r="AI36" s="14">
        <v>2100000000</v>
      </c>
      <c r="AJ36" s="14">
        <v>2100000000</v>
      </c>
      <c r="AK36" s="86">
        <v>2100000000</v>
      </c>
      <c r="AL36" s="86">
        <v>2100000000</v>
      </c>
      <c r="AM36" s="92">
        <v>2100000000</v>
      </c>
      <c r="AN36" s="92">
        <v>2100000000</v>
      </c>
      <c r="AO36" s="92">
        <v>2100000000</v>
      </c>
      <c r="AP36" s="92">
        <v>2100000000</v>
      </c>
      <c r="AQ36" s="92">
        <v>2100000000</v>
      </c>
      <c r="AR36" s="92">
        <v>2100000000</v>
      </c>
      <c r="AS36" s="92">
        <v>2100000000</v>
      </c>
      <c r="AT36" s="92">
        <v>2100000000</v>
      </c>
      <c r="AU36" s="92">
        <v>2100000000</v>
      </c>
      <c r="AV36" s="92">
        <v>2100000000</v>
      </c>
      <c r="AW36" s="92">
        <v>2100000000</v>
      </c>
      <c r="AX36" s="92">
        <v>2100000000</v>
      </c>
    </row>
    <row r="37" spans="2:51">
      <c r="B37" s="19"/>
      <c r="C37" s="10"/>
      <c r="D37" s="10"/>
      <c r="E37" s="10"/>
      <c r="F37" s="10"/>
      <c r="G37" s="10"/>
      <c r="H37" s="10"/>
      <c r="I37" s="10"/>
      <c r="J37" s="10"/>
      <c r="K37" s="10"/>
      <c r="L37" s="10"/>
      <c r="M37" s="10"/>
      <c r="N37" s="10"/>
      <c r="O37" s="10"/>
      <c r="P37" s="10"/>
      <c r="Q37" s="10"/>
      <c r="R37" s="10"/>
      <c r="S37" s="10"/>
      <c r="T37" s="10"/>
      <c r="U37" s="10"/>
      <c r="V37" s="10"/>
      <c r="AD37" s="25"/>
      <c r="AE37" s="25"/>
      <c r="AF37" s="25"/>
      <c r="AG37" s="25"/>
      <c r="AH37" s="25"/>
      <c r="AI37" s="25"/>
      <c r="AJ37" s="25"/>
      <c r="AK37" s="87"/>
      <c r="AL37" s="87"/>
      <c r="AM37" s="94"/>
      <c r="AN37" s="93"/>
      <c r="AO37" s="94"/>
      <c r="AP37" s="94"/>
    </row>
    <row r="38" spans="2:51" s="15" customFormat="1" ht="15" thickBot="1">
      <c r="B38" s="15" t="s">
        <v>40</v>
      </c>
      <c r="C38" s="24">
        <f t="shared" ref="C38:P38" si="95">C4+C9+C34+C11+C17+C36+C22+C27+C29</f>
        <v>25300507276.709999</v>
      </c>
      <c r="D38" s="24">
        <f t="shared" si="95"/>
        <v>26282321969.240005</v>
      </c>
      <c r="E38" s="24">
        <f t="shared" si="95"/>
        <v>27009432359.120003</v>
      </c>
      <c r="F38" s="24">
        <f t="shared" si="95"/>
        <v>27474203534.230007</v>
      </c>
      <c r="G38" s="24">
        <f t="shared" si="95"/>
        <v>27732319186.900074</v>
      </c>
      <c r="H38" s="24">
        <f t="shared" si="95"/>
        <v>27896394782.320072</v>
      </c>
      <c r="I38" s="24">
        <f t="shared" si="95"/>
        <v>28325442226.250118</v>
      </c>
      <c r="J38" s="24">
        <f t="shared" si="95"/>
        <v>29295214044.160118</v>
      </c>
      <c r="K38" s="24">
        <f t="shared" si="95"/>
        <v>29436446169.980003</v>
      </c>
      <c r="L38" s="24">
        <f t="shared" si="95"/>
        <v>29992458934.219997</v>
      </c>
      <c r="M38" s="24">
        <f t="shared" si="95"/>
        <v>30095535388.070004</v>
      </c>
      <c r="N38" s="24">
        <f t="shared" si="95"/>
        <v>30424250761.5</v>
      </c>
      <c r="O38" s="24">
        <f t="shared" si="95"/>
        <v>30566128922.070004</v>
      </c>
      <c r="P38" s="24">
        <f t="shared" si="95"/>
        <v>30752612816.34</v>
      </c>
      <c r="Q38" s="24">
        <f t="shared" ref="Q38" si="96">Q4+Q9+Q34+Q11+Q17+Q36+Q22+Q27+Q29</f>
        <v>31024007893.130001</v>
      </c>
      <c r="R38" s="24">
        <f t="shared" ref="R38:S38" si="97">R4+R9+R34+R11+R17+R36+R22+R27+R29</f>
        <v>31290435415.57</v>
      </c>
      <c r="S38" s="24">
        <f t="shared" si="97"/>
        <v>33829379390.749996</v>
      </c>
      <c r="T38" s="24">
        <f t="shared" ref="T38:U38" si="98">T4+T9+T34+T11+T17+T36+T22+T27+T29</f>
        <v>34098646080.09</v>
      </c>
      <c r="U38" s="24">
        <f t="shared" si="98"/>
        <v>34451314370.010002</v>
      </c>
      <c r="V38" s="24">
        <f t="shared" ref="V38:W38" si="99">V4+V9+V34+V11+V17+V36+V22+V27+V29</f>
        <v>34721904371.5</v>
      </c>
      <c r="W38" s="24">
        <f t="shared" si="99"/>
        <v>35570449281.75</v>
      </c>
      <c r="X38" s="24">
        <f t="shared" ref="X38:Y38" si="100">X4+X9+X34+X11+X17+X36+X22+X27+X29</f>
        <v>35778904965.080002</v>
      </c>
      <c r="Y38" s="24">
        <f t="shared" si="100"/>
        <v>35955276059.879997</v>
      </c>
      <c r="Z38" s="24">
        <f t="shared" ref="Z38:AA38" si="101">Z4+Z9+Z34+Z11+Z17+Z36+Z22+Z27+Z29</f>
        <v>36373155669.620003</v>
      </c>
      <c r="AA38" s="24">
        <f t="shared" si="101"/>
        <v>36736195133.970001</v>
      </c>
      <c r="AB38" s="24">
        <f t="shared" ref="AB38:AG38" si="102">AB4+AB9+AB34+AB11+AB17+AB36+AB22+AB27+AB29</f>
        <v>37137088315.43</v>
      </c>
      <c r="AC38" s="24">
        <f t="shared" si="102"/>
        <v>37890677223.060005</v>
      </c>
      <c r="AD38" s="24">
        <f t="shared" si="102"/>
        <v>39804146484.880005</v>
      </c>
      <c r="AE38" s="24">
        <f t="shared" si="102"/>
        <v>40086280336.979996</v>
      </c>
      <c r="AF38" s="24">
        <f t="shared" si="102"/>
        <v>40222900128.110001</v>
      </c>
      <c r="AG38" s="24">
        <f t="shared" si="102"/>
        <v>40547276712.770004</v>
      </c>
      <c r="AH38" s="24">
        <f t="shared" ref="AH38:AI38" si="103">AH4+AH9+AH34+AH11+AH17+AH36+AH22+AH27+AH29</f>
        <v>41328950159.939995</v>
      </c>
      <c r="AI38" s="24">
        <f t="shared" si="103"/>
        <v>44193379982.200005</v>
      </c>
      <c r="AJ38" s="24">
        <f t="shared" ref="AJ38:AK38" si="104">AJ4+AJ9+AJ34+AJ11+AJ17+AJ36+AJ22+AJ27+AJ29</f>
        <v>44356187705.769997</v>
      </c>
      <c r="AK38" s="88">
        <f t="shared" si="104"/>
        <v>44611554737.380005</v>
      </c>
      <c r="AL38" s="88">
        <f t="shared" ref="AL38:AM38" si="105">AL4+AL9+AL34+AL11+AL17+AL36+AL22+AL27+AL29</f>
        <v>44994720842.740005</v>
      </c>
      <c r="AM38" s="95">
        <f t="shared" si="105"/>
        <v>45224389848.050003</v>
      </c>
      <c r="AN38" s="95">
        <f t="shared" ref="AN38:AQ38" si="106">AN4+AN9+AN34+AN11+AN17+AN36+AN22+AN27+AN29</f>
        <v>45285109473.700005</v>
      </c>
      <c r="AO38" s="95">
        <f t="shared" si="106"/>
        <v>45334044745.580002</v>
      </c>
      <c r="AP38" s="95">
        <f t="shared" si="106"/>
        <v>45384752067.120003</v>
      </c>
      <c r="AQ38" s="95">
        <f t="shared" si="106"/>
        <v>45436961792.669998</v>
      </c>
      <c r="AR38" s="95">
        <f t="shared" ref="AR38:AT38" si="107">AR4+AR9+AR34+AR11+AR17+AR36+AR22+AR27+AR29</f>
        <v>45490489969.690002</v>
      </c>
      <c r="AS38" s="95">
        <f t="shared" si="107"/>
        <v>45716307715.020004</v>
      </c>
      <c r="AT38" s="95">
        <f t="shared" si="107"/>
        <v>45772009639.970001</v>
      </c>
      <c r="AU38" s="95">
        <f t="shared" ref="AU38:AV38" si="108">AU4+AU9+AU34+AU11+AU17+AU36+AU22+AU27+AU29</f>
        <v>45819921280.050011</v>
      </c>
      <c r="AV38" s="95">
        <f t="shared" si="108"/>
        <v>45878720439.909996</v>
      </c>
      <c r="AW38" s="95">
        <f t="shared" ref="AW38:AX38" si="109">AW4+AW9+AW34+AW11+AW17+AW36+AW22+AW27+AW29</f>
        <v>45927416597.32</v>
      </c>
      <c r="AX38" s="95">
        <f t="shared" si="109"/>
        <v>45970376517.399994</v>
      </c>
      <c r="AY38" s="122"/>
    </row>
    <row r="39" spans="2:51" s="15" customFormat="1" ht="15" thickTop="1">
      <c r="C39" s="22"/>
      <c r="D39" s="22"/>
      <c r="E39" s="22"/>
      <c r="F39" s="22"/>
      <c r="G39" s="22"/>
      <c r="H39" s="22"/>
      <c r="I39" s="22"/>
      <c r="J39" s="22"/>
      <c r="K39" s="22"/>
      <c r="L39" s="22"/>
      <c r="M39" s="22"/>
      <c r="N39" s="22"/>
      <c r="O39" s="22"/>
      <c r="P39" s="22"/>
      <c r="Q39" s="22"/>
      <c r="R39" s="22"/>
      <c r="S39" s="22"/>
      <c r="T39" s="22"/>
      <c r="U39" s="22"/>
      <c r="V39" s="22"/>
      <c r="W39" s="54"/>
      <c r="X39" s="54"/>
      <c r="Y39" s="54"/>
      <c r="Z39" s="54"/>
      <c r="AA39" s="54"/>
      <c r="AB39" s="54"/>
      <c r="AC39" s="54"/>
      <c r="AK39" s="82"/>
      <c r="AL39" s="82"/>
      <c r="AM39" s="91"/>
      <c r="AN39" s="91"/>
      <c r="AO39" s="91"/>
      <c r="AP39" s="91"/>
      <c r="AQ39" s="91"/>
      <c r="AR39" s="91"/>
      <c r="AS39" s="91"/>
      <c r="AT39" s="91"/>
      <c r="AU39" s="91"/>
      <c r="AV39" s="91"/>
      <c r="AW39" s="91"/>
      <c r="AX39" s="91"/>
    </row>
    <row r="40" spans="2:51" ht="15" thickBot="1">
      <c r="B40" s="13"/>
      <c r="C40" s="11"/>
    </row>
    <row r="41" spans="2:51">
      <c r="I41" s="131" t="s">
        <v>13</v>
      </c>
      <c r="J41" s="132"/>
      <c r="K41" s="132"/>
      <c r="L41" s="132"/>
      <c r="M41" s="132"/>
      <c r="N41" s="132"/>
      <c r="O41" s="132"/>
      <c r="P41" s="26"/>
      <c r="Q41" s="26"/>
      <c r="R41" s="26"/>
      <c r="S41" s="26"/>
      <c r="T41" s="26"/>
      <c r="U41" s="27"/>
    </row>
    <row r="42" spans="2:51">
      <c r="I42" s="133" t="s">
        <v>15</v>
      </c>
      <c r="J42" s="134"/>
      <c r="K42" s="134"/>
      <c r="L42" s="134"/>
      <c r="M42" s="134"/>
      <c r="N42" s="134"/>
      <c r="O42" s="134"/>
      <c r="U42" s="28"/>
    </row>
    <row r="43" spans="2:51" ht="150.75" customHeight="1" thickBot="1">
      <c r="I43" s="135" t="s">
        <v>57</v>
      </c>
      <c r="J43" s="136"/>
      <c r="K43" s="136"/>
      <c r="L43" s="136"/>
      <c r="M43" s="136"/>
      <c r="N43" s="136"/>
      <c r="O43" s="136"/>
      <c r="P43" s="136"/>
      <c r="Q43" s="136"/>
      <c r="R43" s="136"/>
      <c r="S43" s="136"/>
      <c r="T43" s="136"/>
      <c r="U43" s="137"/>
    </row>
  </sheetData>
  <mergeCells count="4">
    <mergeCell ref="C1:AG1"/>
    <mergeCell ref="I41:O41"/>
    <mergeCell ref="I42:O42"/>
    <mergeCell ref="I43:U43"/>
  </mergeCells>
  <pageMargins left="0.25" right="0.25" top="0.75" bottom="0.75" header="0.3" footer="0.3"/>
  <pageSetup paperSize="5" scale="27"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0A6B-1959-4F32-972E-E6CBA2E8DC1B}">
  <sheetPr>
    <pageSetUpPr fitToPage="1"/>
  </sheetPr>
  <dimension ref="B1:AX49"/>
  <sheetViews>
    <sheetView tabSelected="1" zoomScale="90" zoomScaleNormal="90" workbookViewId="0">
      <pane xSplit="2" ySplit="2" topLeftCell="AL3" activePane="bottomRight" state="frozen"/>
      <selection pane="topRight" activeCell="C1" sqref="C1"/>
      <selection pane="bottomLeft" activeCell="A3" sqref="A3"/>
      <selection pane="bottomRight" activeCell="BB12" sqref="BB12"/>
    </sheetView>
  </sheetViews>
  <sheetFormatPr defaultColWidth="8.81640625" defaultRowHeight="14.5"/>
  <cols>
    <col min="1" max="1" width="1.81640625" style="34" customWidth="1"/>
    <col min="2" max="2" width="71.54296875" style="34" bestFit="1" customWidth="1"/>
    <col min="3" max="3" width="21.54296875" style="34" hidden="1" customWidth="1"/>
    <col min="4" max="5" width="22" style="34" hidden="1" customWidth="1"/>
    <col min="6" max="6" width="22.1796875" style="40" hidden="1" customWidth="1"/>
    <col min="7" max="7" width="22.54296875" style="34" hidden="1" customWidth="1"/>
    <col min="8" max="8" width="23" style="34" hidden="1" customWidth="1"/>
    <col min="9" max="9" width="23" style="34" bestFit="1" customWidth="1"/>
    <col min="10" max="11" width="23" style="34" hidden="1" customWidth="1"/>
    <col min="12" max="12" width="22.54296875" style="34" bestFit="1" customWidth="1"/>
    <col min="13" max="13" width="22.54296875" style="34" hidden="1" customWidth="1"/>
    <col min="14" max="14" width="22" style="34" hidden="1" customWidth="1"/>
    <col min="15" max="15" width="23.453125" style="34" bestFit="1" customWidth="1"/>
    <col min="16" max="17" width="23.453125" style="34" hidden="1" customWidth="1"/>
    <col min="18" max="18" width="23.453125" style="34" bestFit="1" customWidth="1"/>
    <col min="19" max="20" width="23.453125" style="34" hidden="1" customWidth="1"/>
    <col min="21" max="21" width="23.453125" style="34" bestFit="1" customWidth="1"/>
    <col min="22" max="23" width="23.453125" style="34" hidden="1" customWidth="1"/>
    <col min="24" max="24" width="23.453125" style="34" bestFit="1" customWidth="1"/>
    <col min="25" max="26" width="23.453125" style="34" hidden="1" customWidth="1"/>
    <col min="27" max="27" width="23.453125" style="34" bestFit="1" customWidth="1"/>
    <col min="28" max="29" width="23.453125" style="34" hidden="1" customWidth="1"/>
    <col min="30" max="30" width="23.453125" style="34" bestFit="1" customWidth="1"/>
    <col min="31" max="31" width="23.453125" style="34" hidden="1" customWidth="1"/>
    <col min="32" max="32" width="23.54296875" style="34" hidden="1" customWidth="1"/>
    <col min="33" max="33" width="23.54296875" style="34" customWidth="1"/>
    <col min="34" max="35" width="19.26953125" style="34" customWidth="1"/>
    <col min="36" max="36" width="19.26953125" style="34" hidden="1" customWidth="1"/>
    <col min="37" max="37" width="17.453125" style="66" hidden="1" customWidth="1"/>
    <col min="38" max="38" width="17.453125" style="66" bestFit="1" customWidth="1"/>
    <col min="39" max="39" width="19.453125" style="96" hidden="1" customWidth="1"/>
    <col min="40" max="40" width="18.81640625" style="96" hidden="1" customWidth="1"/>
    <col min="41" max="41" width="18.81640625" style="96" bestFit="1" customWidth="1"/>
    <col min="42" max="43" width="18.81640625" style="96" hidden="1" customWidth="1"/>
    <col min="44" max="44" width="18.81640625" style="96" bestFit="1" customWidth="1"/>
    <col min="45" max="46" width="18.81640625" style="96" hidden="1" customWidth="1"/>
    <col min="47" max="50" width="18.81640625" style="96" bestFit="1" customWidth="1"/>
    <col min="51" max="16384" width="8.81640625" style="34"/>
  </cols>
  <sheetData>
    <row r="1" spans="2:50">
      <c r="B1" s="53" t="s">
        <v>0</v>
      </c>
      <c r="C1" s="147" t="s">
        <v>48</v>
      </c>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row>
    <row r="2" spans="2:50" ht="41.5" customHeight="1">
      <c r="C2" s="35" t="s">
        <v>30</v>
      </c>
      <c r="D2" s="35" t="s">
        <v>29</v>
      </c>
      <c r="E2" s="35" t="s">
        <v>28</v>
      </c>
      <c r="F2" s="35" t="s">
        <v>27</v>
      </c>
      <c r="G2" s="35" t="s">
        <v>26</v>
      </c>
      <c r="H2" s="35" t="s">
        <v>25</v>
      </c>
      <c r="I2" s="35" t="s">
        <v>35</v>
      </c>
      <c r="J2" s="35" t="s">
        <v>24</v>
      </c>
      <c r="K2" s="35" t="s">
        <v>23</v>
      </c>
      <c r="L2" s="35" t="s">
        <v>22</v>
      </c>
      <c r="M2" s="35" t="s">
        <v>51</v>
      </c>
      <c r="N2" s="35" t="s">
        <v>52</v>
      </c>
      <c r="O2" s="35" t="s">
        <v>65</v>
      </c>
      <c r="P2" s="35" t="s">
        <v>66</v>
      </c>
      <c r="Q2" s="35" t="s">
        <v>67</v>
      </c>
      <c r="R2" s="35" t="s">
        <v>68</v>
      </c>
      <c r="S2" s="35" t="s">
        <v>69</v>
      </c>
      <c r="T2" s="35" t="s">
        <v>70</v>
      </c>
      <c r="U2" s="35" t="s">
        <v>71</v>
      </c>
      <c r="V2" s="35" t="s">
        <v>72</v>
      </c>
      <c r="W2" s="35" t="s">
        <v>73</v>
      </c>
      <c r="X2" s="35" t="s">
        <v>75</v>
      </c>
      <c r="Y2" s="35" t="s">
        <v>76</v>
      </c>
      <c r="Z2" s="35" t="s">
        <v>77</v>
      </c>
      <c r="AA2" s="35" t="s">
        <v>78</v>
      </c>
      <c r="AB2" s="35" t="s">
        <v>79</v>
      </c>
      <c r="AC2" s="35" t="s">
        <v>81</v>
      </c>
      <c r="AD2" s="35" t="s">
        <v>82</v>
      </c>
      <c r="AE2" s="35" t="s">
        <v>83</v>
      </c>
      <c r="AF2" s="55" t="s">
        <v>84</v>
      </c>
      <c r="AG2" s="55" t="s">
        <v>85</v>
      </c>
      <c r="AH2" s="55" t="s">
        <v>86</v>
      </c>
      <c r="AI2" s="55" t="s">
        <v>87</v>
      </c>
      <c r="AJ2" s="55" t="s">
        <v>88</v>
      </c>
      <c r="AK2" s="67" t="s">
        <v>89</v>
      </c>
      <c r="AL2" s="55" t="s">
        <v>90</v>
      </c>
      <c r="AM2" s="119" t="s">
        <v>91</v>
      </c>
      <c r="AN2" s="120" t="s">
        <v>92</v>
      </c>
      <c r="AO2" s="55" t="s">
        <v>93</v>
      </c>
      <c r="AP2" s="120" t="s">
        <v>94</v>
      </c>
      <c r="AQ2" s="55" t="s">
        <v>95</v>
      </c>
      <c r="AR2" s="55" t="s">
        <v>96</v>
      </c>
      <c r="AS2" s="55" t="s">
        <v>99</v>
      </c>
      <c r="AT2" s="55" t="s">
        <v>100</v>
      </c>
      <c r="AU2" s="55" t="s">
        <v>101</v>
      </c>
      <c r="AV2" s="55" t="s">
        <v>102</v>
      </c>
      <c r="AW2" s="55" t="s">
        <v>103</v>
      </c>
      <c r="AX2" s="55" t="s">
        <v>105</v>
      </c>
    </row>
    <row r="3" spans="2:50" ht="15.65" customHeight="1">
      <c r="B3" s="36"/>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row>
    <row r="4" spans="2:50" s="38" customFormat="1" ht="33" customHeight="1">
      <c r="B4" s="33" t="s">
        <v>58</v>
      </c>
      <c r="C4" s="39">
        <v>937057746.51999974</v>
      </c>
      <c r="D4" s="39">
        <v>1067042932.2399995</v>
      </c>
      <c r="E4" s="39">
        <v>1133781962.4400001</v>
      </c>
      <c r="F4" s="39">
        <v>1470691632.0999999</v>
      </c>
      <c r="G4" s="39">
        <v>1561296406.6999993</v>
      </c>
      <c r="H4" s="39">
        <v>1719912443.1599994</v>
      </c>
      <c r="I4" s="39">
        <v>2020530422.2499993</v>
      </c>
      <c r="J4" s="39">
        <v>2226481216.8499994</v>
      </c>
      <c r="K4" s="39">
        <v>2341782193.6999998</v>
      </c>
      <c r="L4" s="39">
        <v>2502846771.3699999</v>
      </c>
      <c r="M4" s="39">
        <v>2582192424.1300001</v>
      </c>
      <c r="N4" s="39">
        <v>2731971692.3000002</v>
      </c>
      <c r="O4" s="39">
        <v>2814169030.5100002</v>
      </c>
      <c r="P4" s="39">
        <v>2907224477.6599998</v>
      </c>
      <c r="Q4" s="39">
        <v>3018275250.5900002</v>
      </c>
      <c r="R4" s="39">
        <v>5544328080.3299999</v>
      </c>
      <c r="S4" s="39">
        <v>5690695105.6800003</v>
      </c>
      <c r="T4" s="39">
        <v>5829502248.4499998</v>
      </c>
      <c r="U4" s="39">
        <v>6113688216.3500004</v>
      </c>
      <c r="V4" s="39">
        <v>6321124256.7199993</v>
      </c>
      <c r="W4" s="39">
        <v>6509326076.539999</v>
      </c>
      <c r="X4" s="39">
        <v>6645056971.4899998</v>
      </c>
      <c r="Y4" s="39">
        <v>6745455144.1000004</v>
      </c>
      <c r="Z4" s="39">
        <v>6985577640.21</v>
      </c>
      <c r="AA4" s="39">
        <v>7083550799.1700001</v>
      </c>
      <c r="AB4" s="39">
        <v>7305248252.8099995</v>
      </c>
      <c r="AC4" s="39">
        <v>8644732031.5500011</v>
      </c>
      <c r="AD4" s="39">
        <v>9572344754.1499996</v>
      </c>
      <c r="AE4" s="39">
        <v>9741487923.0699997</v>
      </c>
      <c r="AF4" s="39">
        <v>9879179614.7900009</v>
      </c>
      <c r="AG4" s="39">
        <v>10079137058.539999</v>
      </c>
      <c r="AH4" s="39">
        <v>10464977911.289999</v>
      </c>
      <c r="AI4" s="39">
        <v>13073442626.73</v>
      </c>
      <c r="AJ4" s="39">
        <v>13187951943.700001</v>
      </c>
      <c r="AK4" s="68">
        <v>13415872707.24</v>
      </c>
      <c r="AL4" s="68">
        <v>13777906854.93</v>
      </c>
      <c r="AM4" s="98">
        <v>13861886388.469999</v>
      </c>
      <c r="AN4" s="98">
        <v>13862245101.91</v>
      </c>
      <c r="AO4" s="98">
        <v>13874528097.23</v>
      </c>
      <c r="AP4" s="98">
        <v>13874431552.23</v>
      </c>
      <c r="AQ4" s="98">
        <v>13874431427.41</v>
      </c>
      <c r="AR4" s="98">
        <v>13874962454.75</v>
      </c>
      <c r="AS4" s="98">
        <v>13875286132.209999</v>
      </c>
      <c r="AT4" s="98">
        <v>13875430721.33</v>
      </c>
      <c r="AU4" s="98">
        <v>13875594750.530001</v>
      </c>
      <c r="AV4" s="98">
        <v>13875805080.289999</v>
      </c>
      <c r="AW4" s="98">
        <v>13864857012.369999</v>
      </c>
      <c r="AX4" s="98">
        <v>13875333027.469997</v>
      </c>
    </row>
    <row r="5" spans="2:50" ht="15.65" customHeight="1">
      <c r="B5" s="36"/>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row>
    <row r="6" spans="2:50">
      <c r="B6" s="33" t="s">
        <v>59</v>
      </c>
    </row>
    <row r="7" spans="2:50" s="38" customFormat="1">
      <c r="B7" s="41" t="s">
        <v>50</v>
      </c>
      <c r="C7" s="42">
        <v>387090087.90999961</v>
      </c>
      <c r="D7" s="42">
        <v>387090087.90999961</v>
      </c>
      <c r="E7" s="42">
        <v>387090087.90999961</v>
      </c>
      <c r="F7" s="42">
        <v>387090087.90999961</v>
      </c>
      <c r="G7" s="42">
        <v>387090087.90999955</v>
      </c>
      <c r="H7" s="42">
        <v>387090087.90999955</v>
      </c>
      <c r="I7" s="42">
        <v>387090087.90999955</v>
      </c>
      <c r="J7" s="42">
        <v>387090087.90999955</v>
      </c>
      <c r="K7" s="42">
        <v>387090087.90999955</v>
      </c>
      <c r="L7" s="42">
        <v>387090087.90999955</v>
      </c>
      <c r="M7" s="42">
        <v>774180157.27999997</v>
      </c>
      <c r="N7" s="42">
        <v>774180157.27999997</v>
      </c>
      <c r="O7" s="42">
        <v>774180157.27999997</v>
      </c>
      <c r="P7" s="42">
        <v>774180157.27999997</v>
      </c>
      <c r="Q7" s="42">
        <v>774180157.27999997</v>
      </c>
      <c r="R7" s="42">
        <v>774180157.27999997</v>
      </c>
      <c r="S7" s="42">
        <v>774180157.27999997</v>
      </c>
      <c r="T7" s="42">
        <v>774180157.27999997</v>
      </c>
      <c r="U7" s="42">
        <v>774180157.27999997</v>
      </c>
      <c r="V7" s="42">
        <v>774180157.27999997</v>
      </c>
      <c r="W7" s="42">
        <v>774180157.27999997</v>
      </c>
      <c r="X7" s="42">
        <v>774180157.27999997</v>
      </c>
      <c r="Y7" s="42">
        <v>774180157.27999997</v>
      </c>
      <c r="Z7" s="42">
        <v>774180157.27999997</v>
      </c>
      <c r="AA7" s="42">
        <v>774180157.27999997</v>
      </c>
      <c r="AB7" s="42">
        <v>774180157.27999997</v>
      </c>
      <c r="AC7" s="42">
        <v>774180157.27999997</v>
      </c>
      <c r="AD7" s="42">
        <v>774180157.27999997</v>
      </c>
      <c r="AE7" s="42">
        <v>774180157.27999997</v>
      </c>
      <c r="AF7" s="42">
        <v>774180157.27999997</v>
      </c>
      <c r="AG7" s="42">
        <v>774180157.27999997</v>
      </c>
      <c r="AH7" s="42">
        <v>774180157.27999997</v>
      </c>
      <c r="AI7" s="42">
        <v>774180157.27999997</v>
      </c>
      <c r="AJ7" s="42">
        <v>774180157.27999997</v>
      </c>
      <c r="AK7" s="69">
        <v>774180157.27999997</v>
      </c>
      <c r="AL7" s="69">
        <v>774180157.27999997</v>
      </c>
      <c r="AM7" s="97">
        <v>774180157.27999997</v>
      </c>
      <c r="AN7" s="97">
        <v>774180157.27999997</v>
      </c>
      <c r="AO7" s="96">
        <v>774180157.27999997</v>
      </c>
      <c r="AP7" s="96">
        <v>774180157.27999997</v>
      </c>
      <c r="AQ7" s="97">
        <v>774180157.27999997</v>
      </c>
      <c r="AR7" s="97">
        <v>774180157.27999997</v>
      </c>
      <c r="AS7" s="97">
        <v>774180157.27999997</v>
      </c>
      <c r="AT7" s="97">
        <v>774180157.27999997</v>
      </c>
      <c r="AU7" s="97">
        <v>774180157.27999997</v>
      </c>
      <c r="AV7" s="97">
        <v>774180157.27999997</v>
      </c>
      <c r="AW7" s="97">
        <v>774180157.27999997</v>
      </c>
      <c r="AX7" s="97">
        <v>774180157.27999997</v>
      </c>
    </row>
    <row r="8" spans="2:50" s="38" customFormat="1">
      <c r="B8" s="41" t="s">
        <v>49</v>
      </c>
      <c r="C8" s="43">
        <v>0</v>
      </c>
      <c r="D8" s="43">
        <v>0</v>
      </c>
      <c r="E8" s="43">
        <v>0</v>
      </c>
      <c r="F8" s="43">
        <v>0</v>
      </c>
      <c r="G8" s="43">
        <v>0</v>
      </c>
      <c r="H8" s="43">
        <v>0</v>
      </c>
      <c r="I8" s="43">
        <v>4500000000</v>
      </c>
      <c r="J8" s="43">
        <v>4500000000</v>
      </c>
      <c r="K8" s="43">
        <v>4500000000</v>
      </c>
      <c r="L8" s="43">
        <v>4500000000</v>
      </c>
      <c r="M8" s="43">
        <v>4500000000</v>
      </c>
      <c r="N8" s="43">
        <v>4500000000</v>
      </c>
      <c r="O8" s="43">
        <v>4500000000</v>
      </c>
      <c r="P8" s="43">
        <v>4500000000</v>
      </c>
      <c r="Q8" s="43">
        <v>4500000000</v>
      </c>
      <c r="R8" s="43">
        <v>4500000000</v>
      </c>
      <c r="S8" s="43">
        <v>4500000000</v>
      </c>
      <c r="T8" s="43">
        <v>4500000000</v>
      </c>
      <c r="U8" s="43">
        <v>6850000000</v>
      </c>
      <c r="V8" s="43">
        <v>6850000000</v>
      </c>
      <c r="W8" s="43">
        <v>6850000000</v>
      </c>
      <c r="X8" s="43">
        <v>6850000000</v>
      </c>
      <c r="Y8" s="43">
        <v>6850000000</v>
      </c>
      <c r="Z8" s="43">
        <v>6850000000</v>
      </c>
      <c r="AA8" s="43">
        <v>6850000000</v>
      </c>
      <c r="AB8" s="43">
        <v>6850000000</v>
      </c>
      <c r="AC8" s="43">
        <v>6850000000</v>
      </c>
      <c r="AD8" s="43">
        <v>6850000000</v>
      </c>
      <c r="AE8" s="43">
        <v>6850000000</v>
      </c>
      <c r="AF8" s="43">
        <v>6850000000</v>
      </c>
      <c r="AG8" s="43">
        <v>9100000000</v>
      </c>
      <c r="AH8" s="43">
        <v>9100000000</v>
      </c>
      <c r="AI8" s="43">
        <v>9100000000</v>
      </c>
      <c r="AJ8" s="43">
        <v>9100000000</v>
      </c>
      <c r="AK8" s="70">
        <v>9100000000</v>
      </c>
      <c r="AL8" s="70">
        <v>12745000000</v>
      </c>
      <c r="AM8" s="98">
        <v>12745000000</v>
      </c>
      <c r="AN8" s="98">
        <v>12745000000</v>
      </c>
      <c r="AO8" s="99">
        <v>12745000000</v>
      </c>
      <c r="AP8" s="99">
        <v>12745000000</v>
      </c>
      <c r="AQ8" s="98">
        <v>12745000000</v>
      </c>
      <c r="AR8" s="98">
        <v>12745000000</v>
      </c>
      <c r="AS8" s="98">
        <v>12745000000</v>
      </c>
      <c r="AT8" s="98">
        <v>12745000000</v>
      </c>
      <c r="AU8" s="98">
        <v>12745000000</v>
      </c>
      <c r="AV8" s="98">
        <v>12745000000</v>
      </c>
      <c r="AW8" s="98">
        <v>12745000000</v>
      </c>
      <c r="AX8" s="98">
        <v>12745000000</v>
      </c>
    </row>
    <row r="9" spans="2:50" s="38" customFormat="1">
      <c r="B9" s="33" t="s">
        <v>33</v>
      </c>
      <c r="C9" s="44">
        <f t="shared" ref="C9:Q9" si="0">SUM(C7:C8)</f>
        <v>387090087.90999961</v>
      </c>
      <c r="D9" s="44">
        <f t="shared" si="0"/>
        <v>387090087.90999961</v>
      </c>
      <c r="E9" s="44">
        <f t="shared" si="0"/>
        <v>387090087.90999961</v>
      </c>
      <c r="F9" s="44">
        <f t="shared" si="0"/>
        <v>387090087.90999961</v>
      </c>
      <c r="G9" s="44">
        <f t="shared" si="0"/>
        <v>387090087.90999955</v>
      </c>
      <c r="H9" s="44">
        <f t="shared" si="0"/>
        <v>387090087.90999955</v>
      </c>
      <c r="I9" s="44">
        <f t="shared" si="0"/>
        <v>4887090087.9099998</v>
      </c>
      <c r="J9" s="44">
        <f t="shared" si="0"/>
        <v>4887090087.9099998</v>
      </c>
      <c r="K9" s="44">
        <f t="shared" si="0"/>
        <v>4887090087.9099998</v>
      </c>
      <c r="L9" s="44">
        <f t="shared" si="0"/>
        <v>4887090087.9099998</v>
      </c>
      <c r="M9" s="44">
        <f t="shared" si="0"/>
        <v>5274180157.2799997</v>
      </c>
      <c r="N9" s="44">
        <f t="shared" si="0"/>
        <v>5274180157.2799997</v>
      </c>
      <c r="O9" s="44">
        <f t="shared" si="0"/>
        <v>5274180157.2799997</v>
      </c>
      <c r="P9" s="44">
        <f t="shared" si="0"/>
        <v>5274180157.2799997</v>
      </c>
      <c r="Q9" s="44">
        <f t="shared" si="0"/>
        <v>5274180157.2799997</v>
      </c>
      <c r="R9" s="44">
        <f t="shared" ref="R9:S9" si="1">SUM(R7:R8)</f>
        <v>5274180157.2799997</v>
      </c>
      <c r="S9" s="44">
        <f t="shared" si="1"/>
        <v>5274180157.2799997</v>
      </c>
      <c r="T9" s="44">
        <f t="shared" ref="T9:U9" si="2">SUM(T7:T8)</f>
        <v>5274180157.2799997</v>
      </c>
      <c r="U9" s="44">
        <f t="shared" si="2"/>
        <v>7624180157.2799997</v>
      </c>
      <c r="V9" s="44">
        <f t="shared" ref="V9:W9" si="3">SUM(V7:V8)</f>
        <v>7624180157.2799997</v>
      </c>
      <c r="W9" s="44">
        <f t="shared" si="3"/>
        <v>7624180157.2799997</v>
      </c>
      <c r="X9" s="44">
        <f t="shared" ref="X9:Y9" si="4">SUM(X7:X8)</f>
        <v>7624180157.2799997</v>
      </c>
      <c r="Y9" s="44">
        <f t="shared" si="4"/>
        <v>7624180157.2799997</v>
      </c>
      <c r="Z9" s="44">
        <f t="shared" ref="Z9:AA9" si="5">SUM(Z7:Z8)</f>
        <v>7624180157.2799997</v>
      </c>
      <c r="AA9" s="44">
        <f t="shared" si="5"/>
        <v>7624180157.2799997</v>
      </c>
      <c r="AB9" s="44">
        <f t="shared" ref="AB9:AD9" si="6">SUM(AB7:AB8)</f>
        <v>7624180157.2799997</v>
      </c>
      <c r="AC9" s="44">
        <f t="shared" si="6"/>
        <v>7624180157.2799997</v>
      </c>
      <c r="AD9" s="44">
        <f t="shared" si="6"/>
        <v>7624180157.2799997</v>
      </c>
      <c r="AE9" s="44">
        <f>SUM(AE7:AE8)</f>
        <v>7624180157.2799997</v>
      </c>
      <c r="AF9" s="44">
        <f t="shared" ref="AF9:AG9" si="7">SUM(AF7:AF8)</f>
        <v>7624180157.2799997</v>
      </c>
      <c r="AG9" s="44">
        <f t="shared" si="7"/>
        <v>9874180157.2800007</v>
      </c>
      <c r="AH9" s="44">
        <f t="shared" ref="AH9:AI9" si="8">SUM(AH7:AH8)</f>
        <v>9874180157.2800007</v>
      </c>
      <c r="AI9" s="44">
        <f t="shared" si="8"/>
        <v>9874180157.2800007</v>
      </c>
      <c r="AJ9" s="44">
        <f t="shared" ref="AJ9:AK9" si="9">SUM(AJ7:AJ8)</f>
        <v>9874180157.2800007</v>
      </c>
      <c r="AK9" s="71">
        <f t="shared" si="9"/>
        <v>9874180157.2800007</v>
      </c>
      <c r="AL9" s="71">
        <f t="shared" ref="AL9:AN9" si="10">SUM(AL7:AL8)</f>
        <v>13519180157.280001</v>
      </c>
      <c r="AM9" s="103">
        <f t="shared" si="10"/>
        <v>13519180157.280001</v>
      </c>
      <c r="AN9" s="103">
        <f t="shared" si="10"/>
        <v>13519180157.280001</v>
      </c>
      <c r="AO9" s="103">
        <f t="shared" ref="AO9:AQ9" si="11">SUM(AO7:AO8)</f>
        <v>13519180157.280001</v>
      </c>
      <c r="AP9" s="103">
        <f t="shared" si="11"/>
        <v>13519180157.280001</v>
      </c>
      <c r="AQ9" s="103">
        <f t="shared" si="11"/>
        <v>13519180157.280001</v>
      </c>
      <c r="AR9" s="103">
        <f t="shared" ref="AR9:AS9" si="12">SUM(AR7:AR8)</f>
        <v>13519180157.280001</v>
      </c>
      <c r="AS9" s="103">
        <f t="shared" si="12"/>
        <v>13519180157.280001</v>
      </c>
      <c r="AT9" s="103">
        <f t="shared" ref="AT9:AU9" si="13">SUM(AT7:AT8)</f>
        <v>13519180157.280001</v>
      </c>
      <c r="AU9" s="103">
        <f t="shared" si="13"/>
        <v>13519180157.280001</v>
      </c>
      <c r="AV9" s="103">
        <f t="shared" ref="AV9:AW9" si="14">SUM(AV7:AV8)</f>
        <v>13519180157.280001</v>
      </c>
      <c r="AW9" s="103">
        <f t="shared" si="14"/>
        <v>13519180157.280001</v>
      </c>
      <c r="AX9" s="103">
        <f t="shared" ref="AX9" si="15">SUM(AX7:AX8)</f>
        <v>13519180157.280001</v>
      </c>
    </row>
    <row r="10" spans="2:50" s="38" customFormat="1">
      <c r="B10" s="41"/>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72"/>
      <c r="AL10" s="72"/>
      <c r="AM10" s="97"/>
      <c r="AN10" s="97"/>
      <c r="AO10" s="97"/>
      <c r="AP10" s="97"/>
      <c r="AQ10" s="97"/>
      <c r="AR10" s="97"/>
      <c r="AS10" s="97"/>
      <c r="AT10" s="97"/>
      <c r="AU10" s="97"/>
      <c r="AV10" s="97"/>
      <c r="AW10" s="97"/>
      <c r="AX10" s="97"/>
    </row>
    <row r="11" spans="2:50" s="38" customFormat="1">
      <c r="B11" s="33" t="s">
        <v>61</v>
      </c>
      <c r="C11" s="39">
        <v>362656214.38</v>
      </c>
      <c r="D11" s="39">
        <v>505615343.06000453</v>
      </c>
      <c r="E11" s="39">
        <v>645512214.57999992</v>
      </c>
      <c r="F11" s="39">
        <v>805183831.05998099</v>
      </c>
      <c r="G11" s="39">
        <v>945495860.4900831</v>
      </c>
      <c r="H11" s="39">
        <v>1000538564.1601026</v>
      </c>
      <c r="I11" s="39">
        <v>1045401427.2401197</v>
      </c>
      <c r="J11" s="39">
        <v>1067727848.1801198</v>
      </c>
      <c r="K11" s="39">
        <v>1072138210.7800001</v>
      </c>
      <c r="L11" s="39">
        <v>1074577536.3999999</v>
      </c>
      <c r="M11" s="39">
        <v>1124140480.3300002</v>
      </c>
      <c r="N11" s="39">
        <v>1150480242.26</v>
      </c>
      <c r="O11" s="39">
        <v>1197676158.6800001</v>
      </c>
      <c r="P11" s="39">
        <v>1247946006.3099999</v>
      </c>
      <c r="Q11" s="39">
        <v>1284006481.72</v>
      </c>
      <c r="R11" s="39">
        <v>1333101300.98</v>
      </c>
      <c r="S11" s="39">
        <v>1350511608.26</v>
      </c>
      <c r="T11" s="39">
        <v>1373069413.0799999</v>
      </c>
      <c r="U11" s="39">
        <v>1388436220.1500001</v>
      </c>
      <c r="V11" s="39">
        <v>1396894313.0799997</v>
      </c>
      <c r="W11" s="39">
        <v>1411083880.98</v>
      </c>
      <c r="X11" s="39">
        <v>1416738204.0899997</v>
      </c>
      <c r="Y11" s="39">
        <v>1424912884.8699999</v>
      </c>
      <c r="Z11" s="39">
        <v>1580048918.8499999</v>
      </c>
      <c r="AA11" s="39">
        <v>1808304479.3299999</v>
      </c>
      <c r="AB11" s="39">
        <v>1879731480.5599999</v>
      </c>
      <c r="AC11" s="39">
        <v>1908067153.52</v>
      </c>
      <c r="AD11" s="39">
        <v>2150185781.0599999</v>
      </c>
      <c r="AE11" s="39">
        <v>2168358698.73</v>
      </c>
      <c r="AF11" s="39">
        <v>2180262473.6599998</v>
      </c>
      <c r="AG11" s="39">
        <v>2189042768.77</v>
      </c>
      <c r="AH11" s="39">
        <v>2439298764.5799999</v>
      </c>
      <c r="AI11" s="39">
        <v>2451180754.6500001</v>
      </c>
      <c r="AJ11" s="39">
        <v>2450694702.5900002</v>
      </c>
      <c r="AK11" s="68">
        <v>2449954855.9499998</v>
      </c>
      <c r="AL11" s="68">
        <v>2449597921.3199997</v>
      </c>
      <c r="AM11" s="98">
        <v>2449657498.21</v>
      </c>
      <c r="AN11" s="98">
        <v>2449635578.21</v>
      </c>
      <c r="AO11" s="98">
        <v>2449586280.21</v>
      </c>
      <c r="AP11" s="98">
        <v>2449527060.21</v>
      </c>
      <c r="AQ11" s="98">
        <v>2449820688.7199998</v>
      </c>
      <c r="AR11" s="98">
        <v>2449837717.1500001</v>
      </c>
      <c r="AS11" s="98">
        <v>2449775058.3000002</v>
      </c>
      <c r="AT11" s="98">
        <v>2449775058.3000002</v>
      </c>
      <c r="AU11" s="98">
        <v>2449775058.3000002</v>
      </c>
      <c r="AV11" s="98">
        <v>2449775058.3000002</v>
      </c>
      <c r="AW11" s="98">
        <v>2444868073.110023</v>
      </c>
      <c r="AX11" s="98">
        <v>2444486773.5700002</v>
      </c>
    </row>
    <row r="12" spans="2:50" s="38" customFormat="1">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72"/>
      <c r="AL12" s="72"/>
      <c r="AM12" s="97"/>
      <c r="AN12" s="97"/>
      <c r="AO12" s="97"/>
      <c r="AP12" s="97"/>
      <c r="AQ12" s="97"/>
      <c r="AR12" s="97"/>
      <c r="AS12" s="97"/>
      <c r="AT12" s="97"/>
      <c r="AU12" s="97"/>
      <c r="AV12" s="97"/>
      <c r="AW12" s="97"/>
      <c r="AX12" s="97"/>
    </row>
    <row r="13" spans="2:50">
      <c r="B13" s="33" t="s">
        <v>62</v>
      </c>
      <c r="C13" s="46"/>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row>
    <row r="14" spans="2:50" ht="15" customHeight="1">
      <c r="B14" s="47" t="s">
        <v>34</v>
      </c>
      <c r="C14" s="46">
        <v>696440498.97999835</v>
      </c>
      <c r="D14" s="46">
        <v>1028710608.819996</v>
      </c>
      <c r="E14" s="46">
        <v>1171701492.0799999</v>
      </c>
      <c r="F14" s="46">
        <v>1372659128.980001</v>
      </c>
      <c r="G14" s="46">
        <v>1532752900.2500012</v>
      </c>
      <c r="H14" s="46">
        <v>1684777834.8800027</v>
      </c>
      <c r="I14" s="46">
        <v>1832801009.2200012</v>
      </c>
      <c r="J14" s="46">
        <v>2059720095.8100019</v>
      </c>
      <c r="K14" s="46">
        <v>2191801985.7600002</v>
      </c>
      <c r="L14" s="46">
        <v>2351580153.8299999</v>
      </c>
      <c r="M14" s="46">
        <v>2435184522.48</v>
      </c>
      <c r="N14" s="46">
        <v>2465345113.5999999</v>
      </c>
      <c r="O14" s="46">
        <v>2552126128.1400003</v>
      </c>
      <c r="P14" s="46">
        <v>2553292524.9099998</v>
      </c>
      <c r="Q14" s="46">
        <v>2555457109.7399998</v>
      </c>
      <c r="R14" s="46">
        <v>2554816593.3500004</v>
      </c>
      <c r="S14" s="46">
        <v>2559470052.3199997</v>
      </c>
      <c r="T14" s="46">
        <v>2559391858.8599997</v>
      </c>
      <c r="U14" s="46">
        <v>2559511174.8800001</v>
      </c>
      <c r="V14" s="46">
        <v>2558886899.2600002</v>
      </c>
      <c r="W14" s="46">
        <v>2614721952.5500002</v>
      </c>
      <c r="X14" s="46">
        <v>2607288281.2700005</v>
      </c>
      <c r="Y14" s="46">
        <v>2614664762.9499998</v>
      </c>
      <c r="Z14" s="46">
        <v>2618733279.6399999</v>
      </c>
      <c r="AA14" s="46">
        <v>2622107515.1099997</v>
      </c>
      <c r="AB14" s="46">
        <v>2625460996.7600002</v>
      </c>
      <c r="AC14" s="46">
        <v>2633922588.7600002</v>
      </c>
      <c r="AD14" s="46">
        <v>2639817415.8000002</v>
      </c>
      <c r="AE14" s="46">
        <v>2695402939.8199997</v>
      </c>
      <c r="AF14" s="46">
        <v>2758899272.5999999</v>
      </c>
      <c r="AG14" s="46">
        <v>2764494953.5799999</v>
      </c>
      <c r="AH14" s="46">
        <v>2817110691.0599999</v>
      </c>
      <c r="AI14" s="46">
        <v>2819113869.5900002</v>
      </c>
      <c r="AJ14" s="46">
        <v>2820433555.3400002</v>
      </c>
      <c r="AK14" s="66">
        <v>2820576923.5700002</v>
      </c>
      <c r="AL14" s="66">
        <v>2830416953.4200001</v>
      </c>
      <c r="AM14" s="96">
        <v>2830413547.4200001</v>
      </c>
      <c r="AN14" s="96">
        <v>2831376582.71</v>
      </c>
      <c r="AO14" s="96">
        <v>2831329228.04</v>
      </c>
      <c r="AP14" s="96">
        <v>2831314717.3599997</v>
      </c>
      <c r="AQ14" s="96">
        <v>2831309817.3599997</v>
      </c>
      <c r="AR14" s="96">
        <v>2831309417.3599997</v>
      </c>
      <c r="AS14" s="96">
        <v>2831306017.3599997</v>
      </c>
      <c r="AT14" s="96">
        <v>2831305439.96</v>
      </c>
      <c r="AU14" s="96">
        <v>2889877751.0799999</v>
      </c>
      <c r="AV14" s="96">
        <v>2889877751.0799999</v>
      </c>
      <c r="AW14" s="96">
        <v>2889856097.6999998</v>
      </c>
      <c r="AX14" s="96">
        <v>2889855628.8599997</v>
      </c>
    </row>
    <row r="15" spans="2:50" ht="15" customHeight="1">
      <c r="B15" s="41" t="s">
        <v>36</v>
      </c>
      <c r="C15" s="48">
        <v>0</v>
      </c>
      <c r="D15" s="48">
        <v>5966285.5800000019</v>
      </c>
      <c r="E15" s="48">
        <v>25572302.199999969</v>
      </c>
      <c r="F15" s="48">
        <v>66140714.909999922</v>
      </c>
      <c r="G15" s="48">
        <v>117447580.68999995</v>
      </c>
      <c r="H15" s="48">
        <v>151016750.23999992</v>
      </c>
      <c r="I15" s="48">
        <v>186123100.11999992</v>
      </c>
      <c r="J15" s="48">
        <v>224172730.64999992</v>
      </c>
      <c r="K15" s="48">
        <v>255901850.79000002</v>
      </c>
      <c r="L15" s="48">
        <v>287244401.31999999</v>
      </c>
      <c r="M15" s="48">
        <v>383031873.99000001</v>
      </c>
      <c r="N15" s="48">
        <v>500324098.16000003</v>
      </c>
      <c r="O15" s="48">
        <v>548651870.00999999</v>
      </c>
      <c r="P15" s="48">
        <v>639880524.6500001</v>
      </c>
      <c r="Q15" s="48">
        <v>723746220.35000002</v>
      </c>
      <c r="R15" s="48">
        <v>779426151.13</v>
      </c>
      <c r="S15" s="48">
        <v>879258455.15000021</v>
      </c>
      <c r="T15" s="48">
        <v>932108026.78000009</v>
      </c>
      <c r="U15" s="48">
        <v>1004128320.5400001</v>
      </c>
      <c r="V15" s="48">
        <v>1061855036.64</v>
      </c>
      <c r="W15" s="48">
        <v>1091595519.5200002</v>
      </c>
      <c r="X15" s="48">
        <v>1165852754.8199999</v>
      </c>
      <c r="Y15" s="48">
        <v>1198466119.4399998</v>
      </c>
      <c r="Z15" s="48">
        <v>1247468995.1499999</v>
      </c>
      <c r="AA15" s="58">
        <v>1270791364.3399999</v>
      </c>
      <c r="AB15" s="58">
        <v>1365519426.26</v>
      </c>
      <c r="AC15" s="58">
        <v>1416873594.5100002</v>
      </c>
      <c r="AD15" s="58">
        <v>1472094642.5700002</v>
      </c>
      <c r="AE15" s="58">
        <v>1453067616.2300003</v>
      </c>
      <c r="AF15" s="58">
        <v>1438809159.1899998</v>
      </c>
      <c r="AG15" s="58">
        <v>1462561241.6200001</v>
      </c>
      <c r="AH15" s="48">
        <v>1479735019.5500002</v>
      </c>
      <c r="AI15" s="48">
        <v>1497090380.2</v>
      </c>
      <c r="AJ15" s="48">
        <v>1501087130.8599999</v>
      </c>
      <c r="AK15" s="70">
        <v>1502489081.1399999</v>
      </c>
      <c r="AL15" s="70">
        <v>1494152094.1800001</v>
      </c>
      <c r="AM15" s="99">
        <v>1530876554.6599996</v>
      </c>
      <c r="AN15" s="99">
        <v>1530876554.6599996</v>
      </c>
      <c r="AO15" s="99">
        <v>1537075837.1099999</v>
      </c>
      <c r="AP15" s="99">
        <v>1537135265.9299998</v>
      </c>
      <c r="AQ15" s="99">
        <v>1537132620.9299998</v>
      </c>
      <c r="AR15" s="99">
        <v>1537096941.05</v>
      </c>
      <c r="AS15" s="99">
        <v>1537788502.9399998</v>
      </c>
      <c r="AT15" s="99">
        <v>1539618801.8899999</v>
      </c>
      <c r="AU15" s="99">
        <v>1482323235.1299999</v>
      </c>
      <c r="AV15" s="99">
        <v>1483907439.8999999</v>
      </c>
      <c r="AW15" s="99">
        <v>1484364322.4499998</v>
      </c>
      <c r="AX15" s="99">
        <v>1484363177.5899999</v>
      </c>
    </row>
    <row r="16" spans="2:50" s="38" customFormat="1">
      <c r="B16" s="33" t="s">
        <v>37</v>
      </c>
      <c r="C16" s="49">
        <f>SUM(C14:C15)</f>
        <v>696440498.97999835</v>
      </c>
      <c r="D16" s="49">
        <f t="shared" ref="D16:L16" si="16">SUM(D14:D15)</f>
        <v>1034676894.399996</v>
      </c>
      <c r="E16" s="49">
        <f t="shared" si="16"/>
        <v>1197273794.28</v>
      </c>
      <c r="F16" s="49">
        <f t="shared" si="16"/>
        <v>1438799843.8900008</v>
      </c>
      <c r="G16" s="49">
        <f t="shared" si="16"/>
        <v>1650200480.9400012</v>
      </c>
      <c r="H16" s="49">
        <f t="shared" si="16"/>
        <v>1835794585.1200027</v>
      </c>
      <c r="I16" s="49">
        <f t="shared" si="16"/>
        <v>2018924109.3400011</v>
      </c>
      <c r="J16" s="49">
        <f t="shared" si="16"/>
        <v>2283892826.4600019</v>
      </c>
      <c r="K16" s="49">
        <f t="shared" si="16"/>
        <v>2447703836.5500002</v>
      </c>
      <c r="L16" s="49">
        <f t="shared" si="16"/>
        <v>2638824555.1500001</v>
      </c>
      <c r="M16" s="49">
        <f t="shared" ref="M16:N16" si="17">SUM(M14:M15)</f>
        <v>2818216396.4700003</v>
      </c>
      <c r="N16" s="49">
        <f t="shared" si="17"/>
        <v>2965669211.7599998</v>
      </c>
      <c r="O16" s="49">
        <f t="shared" ref="O16:P16" si="18">SUM(O14:O15)</f>
        <v>3100777998.1500006</v>
      </c>
      <c r="P16" s="49">
        <f t="shared" si="18"/>
        <v>3193173049.5599999</v>
      </c>
      <c r="Q16" s="49">
        <f t="shared" ref="Q16" si="19">SUM(Q14:Q15)</f>
        <v>3279203330.0899997</v>
      </c>
      <c r="R16" s="49">
        <f t="shared" ref="R16:S16" si="20">SUM(R14:R15)</f>
        <v>3334242744.4800005</v>
      </c>
      <c r="S16" s="49">
        <f t="shared" si="20"/>
        <v>3438728507.4699998</v>
      </c>
      <c r="T16" s="49">
        <f t="shared" ref="T16:U16" si="21">SUM(T14:T15)</f>
        <v>3491499885.6399999</v>
      </c>
      <c r="U16" s="49">
        <f t="shared" si="21"/>
        <v>3563639495.4200001</v>
      </c>
      <c r="V16" s="49">
        <f t="shared" ref="V16:W16" si="22">SUM(V14:V15)</f>
        <v>3620741935.9000001</v>
      </c>
      <c r="W16" s="49">
        <f t="shared" si="22"/>
        <v>3706317472.0700006</v>
      </c>
      <c r="X16" s="49">
        <f t="shared" ref="X16:Y16" si="23">SUM(X14:X15)</f>
        <v>3773141036.0900002</v>
      </c>
      <c r="Y16" s="49">
        <f t="shared" si="23"/>
        <v>3813130882.3899994</v>
      </c>
      <c r="Z16" s="49">
        <f t="shared" ref="Z16:AA16" si="24">SUM(Z14:Z15)</f>
        <v>3866202274.79</v>
      </c>
      <c r="AA16" s="49">
        <f t="shared" si="24"/>
        <v>3892898879.4499998</v>
      </c>
      <c r="AB16" s="49">
        <f t="shared" ref="AB16:AG16" si="25">SUM(AB14:AB15)</f>
        <v>3990980423.0200005</v>
      </c>
      <c r="AC16" s="49">
        <f t="shared" si="25"/>
        <v>4050796183.2700005</v>
      </c>
      <c r="AD16" s="49">
        <f t="shared" si="25"/>
        <v>4111912058.3700004</v>
      </c>
      <c r="AE16" s="49">
        <f t="shared" si="25"/>
        <v>4148470556.0500002</v>
      </c>
      <c r="AF16" s="49">
        <f t="shared" si="25"/>
        <v>4197708431.79</v>
      </c>
      <c r="AG16" s="49">
        <f t="shared" si="25"/>
        <v>4227056195.1999998</v>
      </c>
      <c r="AH16" s="49">
        <f t="shared" ref="AH16:AI16" si="26">SUM(AH14:AH15)</f>
        <v>4296845710.6100006</v>
      </c>
      <c r="AI16" s="49">
        <f t="shared" si="26"/>
        <v>4316204249.79</v>
      </c>
      <c r="AJ16" s="49">
        <f t="shared" ref="AJ16:AK16" si="27">SUM(AJ14:AJ15)</f>
        <v>4321520686.1999998</v>
      </c>
      <c r="AK16" s="72">
        <f t="shared" si="27"/>
        <v>4323066004.71</v>
      </c>
      <c r="AL16" s="72">
        <f t="shared" ref="AL16:AN16" si="28">SUM(AL14:AL15)</f>
        <v>4324569047.6000004</v>
      </c>
      <c r="AM16" s="97">
        <f t="shared" si="28"/>
        <v>4361290102.0799999</v>
      </c>
      <c r="AN16" s="97">
        <f t="shared" si="28"/>
        <v>4362253137.3699999</v>
      </c>
      <c r="AO16" s="97">
        <f t="shared" ref="AO16:AQ16" si="29">SUM(AO14:AO15)</f>
        <v>4368405065.1499996</v>
      </c>
      <c r="AP16" s="97">
        <f t="shared" si="29"/>
        <v>4368449983.289999</v>
      </c>
      <c r="AQ16" s="97">
        <f t="shared" si="29"/>
        <v>4368442438.289999</v>
      </c>
      <c r="AR16" s="97">
        <f t="shared" ref="AR16:AS16" si="30">SUM(AR14:AR15)</f>
        <v>4368406358.4099998</v>
      </c>
      <c r="AS16" s="97">
        <f t="shared" si="30"/>
        <v>4369094520.2999992</v>
      </c>
      <c r="AT16" s="97">
        <f t="shared" ref="AT16:AU16" si="31">SUM(AT14:AT15)</f>
        <v>4370924241.8500004</v>
      </c>
      <c r="AU16" s="97">
        <f t="shared" si="31"/>
        <v>4372200986.21</v>
      </c>
      <c r="AV16" s="97">
        <f t="shared" ref="AV16:AW16" si="32">SUM(AV14:AV15)</f>
        <v>4373785190.9799995</v>
      </c>
      <c r="AW16" s="97">
        <f t="shared" si="32"/>
        <v>4374220420.1499996</v>
      </c>
      <c r="AX16" s="97">
        <f t="shared" ref="AX16" si="33">SUM(AX14:AX15)</f>
        <v>4374218806.4499998</v>
      </c>
    </row>
    <row r="17" spans="2:50" s="38" customFormat="1">
      <c r="B17" s="41"/>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72"/>
      <c r="AL17" s="72"/>
      <c r="AM17" s="97"/>
      <c r="AN17" s="97"/>
      <c r="AO17" s="97"/>
      <c r="AP17" s="97"/>
      <c r="AQ17" s="97"/>
      <c r="AR17" s="97"/>
      <c r="AS17" s="97"/>
      <c r="AT17" s="97"/>
      <c r="AU17" s="97"/>
      <c r="AV17" s="97"/>
      <c r="AW17" s="97"/>
      <c r="AX17" s="97"/>
    </row>
    <row r="18" spans="2:50" s="65" customFormat="1">
      <c r="B18" s="63" t="s">
        <v>63</v>
      </c>
      <c r="C18" s="64">
        <v>50000000</v>
      </c>
      <c r="D18" s="64">
        <v>50000000</v>
      </c>
      <c r="E18" s="64">
        <v>50000000</v>
      </c>
      <c r="F18" s="64">
        <v>72000000</v>
      </c>
      <c r="G18" s="64">
        <v>72000000</v>
      </c>
      <c r="H18" s="64">
        <v>72000000</v>
      </c>
      <c r="I18" s="64">
        <v>72364586.73999998</v>
      </c>
      <c r="J18" s="64">
        <v>72564551.309999987</v>
      </c>
      <c r="K18" s="64">
        <v>72848465.769999996</v>
      </c>
      <c r="L18" s="64">
        <v>173043739.47</v>
      </c>
      <c r="M18" s="64">
        <v>183853500.59</v>
      </c>
      <c r="N18" s="64">
        <v>254103090.02000001</v>
      </c>
      <c r="O18" s="64">
        <v>254369549.40000001</v>
      </c>
      <c r="P18" s="64">
        <v>324527462.38999999</v>
      </c>
      <c r="Q18" s="64">
        <v>325011537.79000002</v>
      </c>
      <c r="R18" s="64">
        <v>395232396.89999998</v>
      </c>
      <c r="S18" s="64">
        <v>395451656.04000002</v>
      </c>
      <c r="T18" s="64">
        <v>485633991.98000002</v>
      </c>
      <c r="U18" s="64">
        <v>485976235.47000003</v>
      </c>
      <c r="V18" s="64">
        <v>486092872.86000001</v>
      </c>
      <c r="W18" s="64">
        <v>486376230</v>
      </c>
      <c r="X18" s="64">
        <v>537793506.09000003</v>
      </c>
      <c r="Y18" s="64">
        <v>537852884.49000001</v>
      </c>
      <c r="Z18" s="64">
        <v>538019171.71000004</v>
      </c>
      <c r="AA18" s="64">
        <v>538209618.93000007</v>
      </c>
      <c r="AB18" s="64">
        <v>538275585.11000001</v>
      </c>
      <c r="AC18" s="64">
        <v>538345700.04999995</v>
      </c>
      <c r="AD18" s="64">
        <v>538396222.87</v>
      </c>
      <c r="AE18" s="64">
        <v>538404020.07000005</v>
      </c>
      <c r="AF18" s="64">
        <v>538456502.50999999</v>
      </c>
      <c r="AG18" s="64">
        <v>539392175.53999996</v>
      </c>
      <c r="AH18" s="64">
        <v>539458518</v>
      </c>
      <c r="AI18" s="50">
        <v>539458518</v>
      </c>
      <c r="AJ18" s="50">
        <v>539458518</v>
      </c>
      <c r="AK18" s="73">
        <v>539458518</v>
      </c>
      <c r="AL18" s="73">
        <v>539458518</v>
      </c>
      <c r="AM18" s="100">
        <v>539458518</v>
      </c>
      <c r="AN18" s="100">
        <v>539458518</v>
      </c>
      <c r="AO18" s="100">
        <v>539458518</v>
      </c>
      <c r="AP18" s="100">
        <v>539458518</v>
      </c>
      <c r="AQ18" s="100">
        <v>539458518</v>
      </c>
      <c r="AR18" s="100">
        <v>539458518</v>
      </c>
      <c r="AS18" s="100">
        <v>539458518</v>
      </c>
      <c r="AT18" s="100">
        <v>539458518</v>
      </c>
      <c r="AU18" s="100">
        <v>539458518</v>
      </c>
      <c r="AV18" s="100">
        <v>539458518</v>
      </c>
      <c r="AW18" s="100">
        <v>539458518</v>
      </c>
      <c r="AX18" s="100">
        <v>533035852.42000002</v>
      </c>
    </row>
    <row r="19" spans="2:50" s="38" customFormat="1">
      <c r="B19" s="3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72"/>
      <c r="AL19" s="72"/>
      <c r="AM19" s="97"/>
      <c r="AN19" s="97"/>
      <c r="AO19" s="97"/>
      <c r="AP19" s="97"/>
      <c r="AQ19" s="97"/>
      <c r="AR19" s="97"/>
      <c r="AS19" s="97"/>
      <c r="AT19" s="97"/>
      <c r="AU19" s="97"/>
      <c r="AV19" s="97"/>
      <c r="AW19" s="97"/>
      <c r="AX19" s="97"/>
    </row>
    <row r="20" spans="2:50">
      <c r="B20" s="33" t="s">
        <v>8</v>
      </c>
      <c r="F20" s="34"/>
    </row>
    <row r="21" spans="2:50" ht="15" customHeight="1">
      <c r="B21" s="47" t="s">
        <v>34</v>
      </c>
      <c r="C21" s="46">
        <v>0</v>
      </c>
      <c r="D21" s="46">
        <v>0</v>
      </c>
      <c r="E21" s="46">
        <v>0</v>
      </c>
      <c r="F21" s="46">
        <v>0</v>
      </c>
      <c r="G21" s="46">
        <v>0</v>
      </c>
      <c r="H21" s="46">
        <v>0</v>
      </c>
      <c r="I21" s="46">
        <v>0</v>
      </c>
      <c r="J21" s="46">
        <v>0</v>
      </c>
      <c r="K21" s="46">
        <v>0</v>
      </c>
      <c r="L21" s="46">
        <v>0</v>
      </c>
      <c r="M21" s="46">
        <v>0</v>
      </c>
      <c r="N21" s="46">
        <v>0</v>
      </c>
      <c r="O21" s="46">
        <v>0</v>
      </c>
      <c r="P21" s="46">
        <v>0</v>
      </c>
      <c r="Q21" s="46">
        <v>0</v>
      </c>
      <c r="R21" s="46">
        <v>0</v>
      </c>
      <c r="S21" s="46">
        <v>0</v>
      </c>
      <c r="T21" s="46">
        <v>0</v>
      </c>
      <c r="U21" s="46">
        <v>0</v>
      </c>
      <c r="V21" s="46">
        <v>0</v>
      </c>
      <c r="W21" s="46">
        <v>151191199</v>
      </c>
      <c r="X21" s="46">
        <v>151191199</v>
      </c>
      <c r="Y21" s="46">
        <v>151191199</v>
      </c>
      <c r="Z21" s="46">
        <v>151191199</v>
      </c>
      <c r="AA21" s="46">
        <v>151191199</v>
      </c>
      <c r="AB21" s="46">
        <v>151191199</v>
      </c>
      <c r="AC21" s="46">
        <v>151191199</v>
      </c>
      <c r="AD21" s="46">
        <v>151191199</v>
      </c>
      <c r="AE21" s="46">
        <v>154792221</v>
      </c>
      <c r="AF21" s="46">
        <v>154792221</v>
      </c>
      <c r="AG21" s="46">
        <v>154792221</v>
      </c>
      <c r="AH21" s="46">
        <v>154792221</v>
      </c>
      <c r="AI21" s="46">
        <v>154792221</v>
      </c>
      <c r="AJ21" s="46">
        <v>154792221</v>
      </c>
      <c r="AK21" s="74">
        <v>154792221</v>
      </c>
      <c r="AL21" s="74">
        <v>154792221</v>
      </c>
      <c r="AM21" s="96">
        <v>154792221</v>
      </c>
      <c r="AN21" s="96">
        <v>154792221</v>
      </c>
      <c r="AO21" s="96">
        <v>154792221</v>
      </c>
      <c r="AP21" s="96">
        <v>154792221</v>
      </c>
      <c r="AQ21" s="96">
        <v>154792221</v>
      </c>
      <c r="AR21" s="96">
        <v>154792221</v>
      </c>
      <c r="AS21" s="96">
        <v>327675517</v>
      </c>
      <c r="AT21" s="96">
        <v>327675517</v>
      </c>
      <c r="AU21" s="96">
        <v>327675517</v>
      </c>
      <c r="AV21" s="96">
        <v>327675517</v>
      </c>
      <c r="AW21" s="96">
        <v>327675517</v>
      </c>
      <c r="AX21" s="96">
        <v>327675517</v>
      </c>
    </row>
    <row r="22" spans="2:50" ht="15" customHeight="1">
      <c r="B22" s="41" t="s">
        <v>36</v>
      </c>
      <c r="C22" s="48">
        <v>207600000</v>
      </c>
      <c r="D22" s="48">
        <v>415300000</v>
      </c>
      <c r="E22" s="48">
        <v>622800000</v>
      </c>
      <c r="F22" s="48">
        <v>626130000</v>
      </c>
      <c r="G22" s="48">
        <v>636552938</v>
      </c>
      <c r="H22" s="48">
        <v>650897107.04999995</v>
      </c>
      <c r="I22" s="48">
        <v>655171248.04999995</v>
      </c>
      <c r="J22" s="48">
        <v>658027848.04999995</v>
      </c>
      <c r="K22" s="48">
        <v>666028179.81999993</v>
      </c>
      <c r="L22" s="48">
        <v>672692888.4799999</v>
      </c>
      <c r="M22" s="48">
        <v>778995752.16999996</v>
      </c>
      <c r="N22" s="48">
        <v>780099617.24000001</v>
      </c>
      <c r="O22" s="48">
        <v>783012795.15999997</v>
      </c>
      <c r="P22" s="48">
        <v>887631773.49000001</v>
      </c>
      <c r="Q22" s="48">
        <v>948321143.47000003</v>
      </c>
      <c r="R22" s="48">
        <v>948471143.47000003</v>
      </c>
      <c r="S22" s="48">
        <v>957231786.95000005</v>
      </c>
      <c r="T22" s="48">
        <v>1064497606.47</v>
      </c>
      <c r="U22" s="48">
        <v>1087300710.9400001</v>
      </c>
      <c r="V22" s="48">
        <v>1091591374.0900002</v>
      </c>
      <c r="W22" s="48">
        <v>1091876207.3900001</v>
      </c>
      <c r="X22" s="48">
        <v>1092266428.74</v>
      </c>
      <c r="Y22" s="48">
        <v>1098297748.0699999</v>
      </c>
      <c r="Z22" s="48">
        <v>1098297748.0699999</v>
      </c>
      <c r="AA22" s="48">
        <v>1098322227.04</v>
      </c>
      <c r="AB22" s="48">
        <v>1098322227.04</v>
      </c>
      <c r="AC22" s="48">
        <v>1098545302.6799998</v>
      </c>
      <c r="AD22" s="48">
        <v>1098545302.6799998</v>
      </c>
      <c r="AE22" s="48">
        <v>1104881980.8700001</v>
      </c>
      <c r="AF22" s="48">
        <v>1104801980.8700001</v>
      </c>
      <c r="AG22" s="48">
        <v>1104806980.8700001</v>
      </c>
      <c r="AH22" s="48">
        <v>1104792227.76</v>
      </c>
      <c r="AI22" s="48">
        <v>1104792227.76</v>
      </c>
      <c r="AJ22" s="48">
        <v>1104792227.76</v>
      </c>
      <c r="AK22" s="75">
        <v>1104792227.76</v>
      </c>
      <c r="AL22" s="75">
        <v>1104792227.76</v>
      </c>
      <c r="AM22" s="99">
        <v>1104961485.21</v>
      </c>
      <c r="AN22" s="99">
        <v>1104961485.21</v>
      </c>
      <c r="AO22" s="99">
        <v>1104961485.21</v>
      </c>
      <c r="AP22" s="99">
        <v>1104961485.21</v>
      </c>
      <c r="AQ22" s="99">
        <v>1104978985.21</v>
      </c>
      <c r="AR22" s="99">
        <v>1104981985.21</v>
      </c>
      <c r="AS22" s="99">
        <v>1104981985.21</v>
      </c>
      <c r="AT22" s="99">
        <v>1104981985.21</v>
      </c>
      <c r="AU22" s="99">
        <v>1104981985.21</v>
      </c>
      <c r="AV22" s="99">
        <v>1104981985.21</v>
      </c>
      <c r="AW22" s="99">
        <v>1104981985.21</v>
      </c>
      <c r="AX22" s="99">
        <v>1104981985.21</v>
      </c>
    </row>
    <row r="23" spans="2:50" s="38" customFormat="1">
      <c r="B23" s="33" t="s">
        <v>39</v>
      </c>
      <c r="C23" s="49">
        <f>SUM(C21:C22)</f>
        <v>207600000</v>
      </c>
      <c r="D23" s="49">
        <f t="shared" ref="D23" si="34">SUM(D21:D22)</f>
        <v>415300000</v>
      </c>
      <c r="E23" s="49">
        <f t="shared" ref="E23" si="35">SUM(E21:E22)</f>
        <v>622800000</v>
      </c>
      <c r="F23" s="49">
        <f t="shared" ref="F23" si="36">SUM(F21:F22)</f>
        <v>626130000</v>
      </c>
      <c r="G23" s="49">
        <f t="shared" ref="G23" si="37">SUM(G21:G22)</f>
        <v>636552938</v>
      </c>
      <c r="H23" s="49">
        <f t="shared" ref="H23" si="38">SUM(H21:H22)</f>
        <v>650897107.04999995</v>
      </c>
      <c r="I23" s="49">
        <f t="shared" ref="I23" si="39">SUM(I21:I22)</f>
        <v>655171248.04999995</v>
      </c>
      <c r="J23" s="49">
        <f t="shared" ref="J23" si="40">SUM(J21:J22)</f>
        <v>658027848.04999995</v>
      </c>
      <c r="K23" s="49">
        <f t="shared" ref="K23" si="41">SUM(K21:K22)</f>
        <v>666028179.81999993</v>
      </c>
      <c r="L23" s="49">
        <f t="shared" ref="L23:Q23" si="42">SUM(L21:L22)</f>
        <v>672692888.4799999</v>
      </c>
      <c r="M23" s="49">
        <f t="shared" si="42"/>
        <v>778995752.16999996</v>
      </c>
      <c r="N23" s="49">
        <f t="shared" si="42"/>
        <v>780099617.24000001</v>
      </c>
      <c r="O23" s="49">
        <f t="shared" si="42"/>
        <v>783012795.15999997</v>
      </c>
      <c r="P23" s="49">
        <f t="shared" si="42"/>
        <v>887631773.49000001</v>
      </c>
      <c r="Q23" s="49">
        <f t="shared" si="42"/>
        <v>948321143.47000003</v>
      </c>
      <c r="R23" s="49">
        <f t="shared" ref="R23:S23" si="43">SUM(R21:R22)</f>
        <v>948471143.47000003</v>
      </c>
      <c r="S23" s="49">
        <f t="shared" si="43"/>
        <v>957231786.95000005</v>
      </c>
      <c r="T23" s="49">
        <f t="shared" ref="T23:U23" si="44">SUM(T21:T22)</f>
        <v>1064497606.47</v>
      </c>
      <c r="U23" s="49">
        <f t="shared" si="44"/>
        <v>1087300710.9400001</v>
      </c>
      <c r="V23" s="49">
        <f t="shared" ref="V23:W23" si="45">SUM(V21:V22)</f>
        <v>1091591374.0900002</v>
      </c>
      <c r="W23" s="49">
        <f t="shared" si="45"/>
        <v>1243067406.3900001</v>
      </c>
      <c r="X23" s="49">
        <f t="shared" ref="X23:Y23" si="46">SUM(X21:X22)</f>
        <v>1243457627.74</v>
      </c>
      <c r="Y23" s="49">
        <f t="shared" si="46"/>
        <v>1249488947.0699999</v>
      </c>
      <c r="Z23" s="49">
        <f t="shared" ref="Z23:AA23" si="47">SUM(Z21:Z22)</f>
        <v>1249488947.0699999</v>
      </c>
      <c r="AA23" s="49">
        <f t="shared" si="47"/>
        <v>1249513426.04</v>
      </c>
      <c r="AB23" s="49">
        <f t="shared" ref="AB23:AG23" si="48">SUM(AB21:AB22)</f>
        <v>1249513426.04</v>
      </c>
      <c r="AC23" s="49">
        <f t="shared" si="48"/>
        <v>1249736501.6799998</v>
      </c>
      <c r="AD23" s="49">
        <f t="shared" si="48"/>
        <v>1249736501.6799998</v>
      </c>
      <c r="AE23" s="49">
        <f t="shared" si="48"/>
        <v>1259674201.8700001</v>
      </c>
      <c r="AF23" s="49">
        <f t="shared" si="48"/>
        <v>1259594201.8700001</v>
      </c>
      <c r="AG23" s="49">
        <f t="shared" si="48"/>
        <v>1259599201.8700001</v>
      </c>
      <c r="AH23" s="49">
        <f t="shared" ref="AH23:AI23" si="49">SUM(AH21:AH22)</f>
        <v>1259584448.76</v>
      </c>
      <c r="AI23" s="49">
        <f t="shared" si="49"/>
        <v>1259584448.76</v>
      </c>
      <c r="AJ23" s="49">
        <f t="shared" ref="AJ23:AK23" si="50">SUM(AJ21:AJ22)</f>
        <v>1259584448.76</v>
      </c>
      <c r="AK23" s="72">
        <f t="shared" si="50"/>
        <v>1259584448.76</v>
      </c>
      <c r="AL23" s="72">
        <f t="shared" ref="AL23:AN23" si="51">SUM(AL21:AL22)</f>
        <v>1259584448.76</v>
      </c>
      <c r="AM23" s="97">
        <f t="shared" si="51"/>
        <v>1259753706.21</v>
      </c>
      <c r="AN23" s="97">
        <f t="shared" si="51"/>
        <v>1259753706.21</v>
      </c>
      <c r="AO23" s="97">
        <f t="shared" ref="AO23:AQ23" si="52">SUM(AO21:AO22)</f>
        <v>1259753706.21</v>
      </c>
      <c r="AP23" s="97">
        <f t="shared" si="52"/>
        <v>1259753706.21</v>
      </c>
      <c r="AQ23" s="97">
        <f t="shared" si="52"/>
        <v>1259771206.21</v>
      </c>
      <c r="AR23" s="97">
        <f t="shared" ref="AR23:AS23" si="53">SUM(AR21:AR22)</f>
        <v>1259774206.21</v>
      </c>
      <c r="AS23" s="97">
        <f t="shared" si="53"/>
        <v>1432657502.21</v>
      </c>
      <c r="AT23" s="97">
        <f t="shared" ref="AT23:AU23" si="54">SUM(AT21:AT22)</f>
        <v>1432657502.21</v>
      </c>
      <c r="AU23" s="97">
        <f t="shared" si="54"/>
        <v>1432657502.21</v>
      </c>
      <c r="AV23" s="97">
        <f t="shared" ref="AV23:AW23" si="55">SUM(AV21:AV22)</f>
        <v>1432657502.21</v>
      </c>
      <c r="AW23" s="97">
        <f t="shared" si="55"/>
        <v>1432657502.21</v>
      </c>
      <c r="AX23" s="97">
        <f t="shared" ref="AX23" si="56">SUM(AX21:AX22)</f>
        <v>1432657502.21</v>
      </c>
    </row>
    <row r="24" spans="2:50" s="38" customFormat="1">
      <c r="B24" s="36"/>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72"/>
      <c r="AL24" s="72"/>
      <c r="AM24" s="97"/>
      <c r="AN24" s="97"/>
      <c r="AO24" s="97"/>
      <c r="AP24" s="97"/>
      <c r="AQ24" s="97"/>
      <c r="AR24" s="97"/>
      <c r="AS24" s="97"/>
      <c r="AT24" s="97"/>
      <c r="AU24" s="97"/>
      <c r="AV24" s="97"/>
      <c r="AW24" s="97"/>
      <c r="AX24" s="97"/>
    </row>
    <row r="25" spans="2:50" s="38" customFormat="1">
      <c r="B25" s="33" t="s">
        <v>54</v>
      </c>
      <c r="C25" s="50">
        <v>0</v>
      </c>
      <c r="D25" s="50">
        <v>0</v>
      </c>
      <c r="E25" s="50">
        <v>0</v>
      </c>
      <c r="F25" s="50">
        <v>0</v>
      </c>
      <c r="G25" s="50">
        <v>0</v>
      </c>
      <c r="H25" s="50">
        <v>0</v>
      </c>
      <c r="I25" s="50">
        <v>0</v>
      </c>
      <c r="J25" s="50">
        <v>0</v>
      </c>
      <c r="K25" s="50">
        <v>0</v>
      </c>
      <c r="L25" s="50">
        <v>0</v>
      </c>
      <c r="M25" s="50">
        <v>17988348</v>
      </c>
      <c r="N25" s="50">
        <v>249718478.38999999</v>
      </c>
      <c r="O25" s="50">
        <v>249725578.27000001</v>
      </c>
      <c r="P25" s="50">
        <v>249660768.84999999</v>
      </c>
      <c r="Q25" s="50">
        <v>249660768.84999999</v>
      </c>
      <c r="R25" s="50">
        <v>249742711.84999999</v>
      </c>
      <c r="S25" s="50">
        <v>249986660.84999999</v>
      </c>
      <c r="T25" s="50">
        <v>249986660.84999999</v>
      </c>
      <c r="U25" s="50">
        <v>249999998.84999999</v>
      </c>
      <c r="V25" s="50">
        <v>249999998.84999999</v>
      </c>
      <c r="W25" s="50">
        <v>249999998.84999999</v>
      </c>
      <c r="X25" s="50">
        <v>249999998.84999999</v>
      </c>
      <c r="Y25" s="50">
        <v>249999998.84999999</v>
      </c>
      <c r="Z25" s="50">
        <v>249999998.84999999</v>
      </c>
      <c r="AA25" s="50">
        <v>249999998.84999999</v>
      </c>
      <c r="AB25" s="50">
        <v>249999998.84999999</v>
      </c>
      <c r="AC25" s="50">
        <v>249999998.84999999</v>
      </c>
      <c r="AD25" s="50">
        <v>249999998.84999999</v>
      </c>
      <c r="AE25" s="50">
        <v>249999998.84999999</v>
      </c>
      <c r="AF25" s="50">
        <v>249999998.84999999</v>
      </c>
      <c r="AG25" s="50">
        <v>249999998.84999999</v>
      </c>
      <c r="AH25" s="50">
        <v>249999998.84999999</v>
      </c>
      <c r="AI25" s="50">
        <v>249999998.84999999</v>
      </c>
      <c r="AJ25" s="50">
        <v>249999998.84999999</v>
      </c>
      <c r="AK25" s="73">
        <v>249999998.84999999</v>
      </c>
      <c r="AL25" s="73">
        <v>249999998.84999999</v>
      </c>
      <c r="AM25" s="98">
        <v>249999998.84999999</v>
      </c>
      <c r="AN25" s="98">
        <v>249999998.84999999</v>
      </c>
      <c r="AO25" s="98">
        <v>249999998.84999999</v>
      </c>
      <c r="AP25" s="98">
        <v>249999998.84999999</v>
      </c>
      <c r="AQ25" s="98">
        <v>249999998.84999999</v>
      </c>
      <c r="AR25" s="98">
        <v>249999998.84999999</v>
      </c>
      <c r="AS25" s="98">
        <v>249999998.84999999</v>
      </c>
      <c r="AT25" s="98">
        <v>249999998.84999999</v>
      </c>
      <c r="AU25" s="98">
        <v>249999998.84999999</v>
      </c>
      <c r="AV25" s="98">
        <v>249999998.84999999</v>
      </c>
      <c r="AW25" s="98">
        <v>249999998.84999999</v>
      </c>
      <c r="AX25" s="98">
        <v>249999998.84999999</v>
      </c>
    </row>
    <row r="26" spans="2:50" s="38" customFormat="1">
      <c r="B26" s="41"/>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72"/>
      <c r="AL26" s="72"/>
      <c r="AM26" s="97"/>
      <c r="AN26" s="97"/>
      <c r="AO26" s="97"/>
      <c r="AP26" s="97"/>
      <c r="AQ26" s="97"/>
      <c r="AR26" s="97"/>
      <c r="AS26" s="97"/>
      <c r="AT26" s="97"/>
      <c r="AU26" s="97"/>
      <c r="AV26" s="97"/>
      <c r="AW26" s="97"/>
      <c r="AX26" s="97"/>
    </row>
    <row r="27" spans="2:50" s="38" customFormat="1">
      <c r="B27" s="33" t="s">
        <v>60</v>
      </c>
      <c r="C27" s="39">
        <v>3924644701.2399788</v>
      </c>
      <c r="D27" s="39">
        <v>3924640567.6899786</v>
      </c>
      <c r="E27" s="39">
        <v>3938798743.6900001</v>
      </c>
      <c r="F27" s="39">
        <v>5023127409.1899958</v>
      </c>
      <c r="G27" s="39">
        <v>5023126652.5799999</v>
      </c>
      <c r="H27" s="39">
        <v>5023126184.6200237</v>
      </c>
      <c r="I27" s="39">
        <v>5142496470.2399988</v>
      </c>
      <c r="J27" s="39">
        <v>5142516363.3400145</v>
      </c>
      <c r="K27" s="39">
        <v>5142516363.3400145</v>
      </c>
      <c r="L27" s="39">
        <v>5142535984.75</v>
      </c>
      <c r="M27" s="39">
        <v>5142535984.75</v>
      </c>
      <c r="N27" s="39">
        <v>5142535984.75</v>
      </c>
      <c r="O27" s="39">
        <v>5142535984.75</v>
      </c>
      <c r="P27" s="39">
        <v>5142535984.75</v>
      </c>
      <c r="Q27" s="39">
        <v>5142535984.75</v>
      </c>
      <c r="R27" s="39">
        <v>5142535984.75</v>
      </c>
      <c r="S27" s="39">
        <v>5142535984.75</v>
      </c>
      <c r="T27" s="39">
        <v>5142535984.75</v>
      </c>
      <c r="U27" s="39">
        <v>5142535984.75</v>
      </c>
      <c r="V27" s="39">
        <v>5142535984.75</v>
      </c>
      <c r="W27" s="39">
        <v>5142535984.75</v>
      </c>
      <c r="X27" s="39">
        <v>5142535984.75</v>
      </c>
      <c r="Y27" s="39">
        <v>5142535984.75</v>
      </c>
      <c r="Z27" s="39">
        <v>5142535984.75</v>
      </c>
      <c r="AA27" s="39">
        <v>5142535984.75</v>
      </c>
      <c r="AB27" s="39">
        <v>5142535984.75</v>
      </c>
      <c r="AC27" s="39">
        <v>5142535984.75</v>
      </c>
      <c r="AD27" s="39">
        <v>5142535984.75</v>
      </c>
      <c r="AE27" s="39">
        <v>5142535984.75</v>
      </c>
      <c r="AF27" s="39">
        <v>5142535984.75</v>
      </c>
      <c r="AG27" s="39">
        <v>5142535984.75</v>
      </c>
      <c r="AH27" s="39">
        <v>5142535984.75</v>
      </c>
      <c r="AI27" s="39">
        <v>5142535984.75</v>
      </c>
      <c r="AJ27" s="39">
        <v>5142535984.75</v>
      </c>
      <c r="AK27" s="76">
        <v>5142535984.75</v>
      </c>
      <c r="AL27" s="76">
        <v>5142535984.75</v>
      </c>
      <c r="AM27" s="98">
        <v>5142535984.75</v>
      </c>
      <c r="AN27" s="98">
        <v>5142535984.75</v>
      </c>
      <c r="AO27" s="98">
        <v>5142535984.75</v>
      </c>
      <c r="AP27" s="98">
        <v>5142535984.75</v>
      </c>
      <c r="AQ27" s="98">
        <v>5142535984.75</v>
      </c>
      <c r="AR27" s="98">
        <v>5142535984.75</v>
      </c>
      <c r="AS27" s="98">
        <v>5142535984.75</v>
      </c>
      <c r="AT27" s="98">
        <v>5142535984.75</v>
      </c>
      <c r="AU27" s="98">
        <v>5142535984.75</v>
      </c>
      <c r="AV27" s="98">
        <v>5142535984.75</v>
      </c>
      <c r="AW27" s="98">
        <v>5142535984.75</v>
      </c>
      <c r="AX27" s="98">
        <v>5142535984.75</v>
      </c>
    </row>
    <row r="28" spans="2:50">
      <c r="B28" s="45"/>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row>
    <row r="29" spans="2:50" s="38" customFormat="1">
      <c r="B29" s="33" t="s">
        <v>43</v>
      </c>
      <c r="C29" s="50">
        <v>968471301.54999995</v>
      </c>
      <c r="D29" s="50">
        <v>2009599592.8399999</v>
      </c>
      <c r="E29" s="50">
        <v>2011050167.8999999</v>
      </c>
      <c r="F29" s="50">
        <v>2040455410.2399998</v>
      </c>
      <c r="G29" s="50">
        <v>2042175665.8499999</v>
      </c>
      <c r="H29" s="50">
        <v>2043547117.5899997</v>
      </c>
      <c r="I29" s="50">
        <v>2046578598.1199996</v>
      </c>
      <c r="J29" s="50">
        <v>2048750122.9299998</v>
      </c>
      <c r="K29" s="50">
        <v>2053324964.9699996</v>
      </c>
      <c r="L29" s="50">
        <v>2056077963.23</v>
      </c>
      <c r="M29" s="50">
        <v>2056977086.05</v>
      </c>
      <c r="N29" s="50">
        <v>2059063662.0500002</v>
      </c>
      <c r="O29" s="50">
        <v>2061316857.8899999</v>
      </c>
      <c r="P29" s="50">
        <v>2061424532.2</v>
      </c>
      <c r="Q29" s="50">
        <v>2066901495.8900001</v>
      </c>
      <c r="R29" s="50">
        <v>2096842073.6599998</v>
      </c>
      <c r="S29" s="50">
        <v>2096967627.6999998</v>
      </c>
      <c r="T29" s="50">
        <v>2097181557.1299999</v>
      </c>
      <c r="U29" s="50">
        <v>2097210180.29</v>
      </c>
      <c r="V29" s="50">
        <v>2097210204.8899999</v>
      </c>
      <c r="W29" s="50">
        <v>2097252711.1499999</v>
      </c>
      <c r="X29" s="50">
        <v>2097335353.7099998</v>
      </c>
      <c r="Y29" s="50">
        <v>2097335353.7099998</v>
      </c>
      <c r="Z29" s="50">
        <v>2097335353.7099998</v>
      </c>
      <c r="AA29" s="50">
        <v>2097184103.7099998</v>
      </c>
      <c r="AB29" s="50">
        <v>2097184103.7099998</v>
      </c>
      <c r="AC29" s="50">
        <v>2097184103.7099998</v>
      </c>
      <c r="AD29" s="50">
        <v>2097184103.7099998</v>
      </c>
      <c r="AE29" s="50">
        <v>2097184103.7099998</v>
      </c>
      <c r="AF29" s="50">
        <v>2097184103.71</v>
      </c>
      <c r="AG29" s="50">
        <v>2097184103.71</v>
      </c>
      <c r="AH29" s="50">
        <v>2097184103.71</v>
      </c>
      <c r="AI29" s="50">
        <v>2097184103.71</v>
      </c>
      <c r="AJ29" s="50">
        <v>2097184103.71</v>
      </c>
      <c r="AK29" s="73">
        <v>2097184103.71</v>
      </c>
      <c r="AL29" s="73">
        <v>2097184103.71</v>
      </c>
      <c r="AM29" s="98">
        <v>2097184103.71</v>
      </c>
      <c r="AN29" s="98">
        <v>2097184103.71</v>
      </c>
      <c r="AO29" s="98">
        <v>2097184103.71</v>
      </c>
      <c r="AP29" s="98">
        <v>2097184103.71</v>
      </c>
      <c r="AQ29" s="98">
        <v>2097184103.71</v>
      </c>
      <c r="AR29" s="98">
        <v>2097184103.71</v>
      </c>
      <c r="AS29" s="98">
        <v>2097184103.71</v>
      </c>
      <c r="AT29" s="98">
        <v>2097184103.71</v>
      </c>
      <c r="AU29" s="98">
        <v>2097184103.71</v>
      </c>
      <c r="AV29" s="98">
        <v>2097184103.71</v>
      </c>
      <c r="AW29" s="98">
        <v>2097184103.71</v>
      </c>
      <c r="AX29" s="98">
        <v>2097184103.71</v>
      </c>
    </row>
    <row r="30" spans="2:50">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77"/>
      <c r="AL30" s="77"/>
      <c r="AM30" s="101"/>
    </row>
    <row r="31" spans="2:50" s="38" customFormat="1" ht="15" thickBot="1">
      <c r="B31" s="38" t="s">
        <v>40</v>
      </c>
      <c r="C31" s="51">
        <f t="shared" ref="C31:P31" si="57">C4+C9+C27+C11+C16+C29+C18+C23+C25</f>
        <v>7533960550.579977</v>
      </c>
      <c r="D31" s="51">
        <f t="shared" si="57"/>
        <v>9393965418.1399765</v>
      </c>
      <c r="E31" s="51">
        <f t="shared" si="57"/>
        <v>9986306970.7999992</v>
      </c>
      <c r="F31" s="51">
        <f t="shared" si="57"/>
        <v>11863478214.389977</v>
      </c>
      <c r="G31" s="51">
        <f t="shared" si="57"/>
        <v>12317938092.470083</v>
      </c>
      <c r="H31" s="51">
        <f t="shared" si="57"/>
        <v>12732906089.610126</v>
      </c>
      <c r="I31" s="51">
        <f t="shared" si="57"/>
        <v>17888556949.890118</v>
      </c>
      <c r="J31" s="51">
        <f t="shared" si="57"/>
        <v>18387050865.030136</v>
      </c>
      <c r="K31" s="51">
        <f t="shared" si="57"/>
        <v>18683432302.840015</v>
      </c>
      <c r="L31" s="51">
        <f t="shared" si="57"/>
        <v>19147689526.759998</v>
      </c>
      <c r="M31" s="51">
        <f t="shared" si="57"/>
        <v>19979080129.769997</v>
      </c>
      <c r="N31" s="51">
        <f t="shared" si="57"/>
        <v>20607822136.049999</v>
      </c>
      <c r="O31" s="51">
        <f t="shared" si="57"/>
        <v>20877764110.090004</v>
      </c>
      <c r="P31" s="51">
        <f t="shared" si="57"/>
        <v>21288304212.489998</v>
      </c>
      <c r="Q31" s="51">
        <f t="shared" ref="Q31" si="58">Q4+Q9+Q27+Q11+Q16+Q29+Q18+Q23+Q25</f>
        <v>21588096150.429996</v>
      </c>
      <c r="R31" s="51">
        <f t="shared" ref="R31:S31" si="59">R4+R9+R27+R11+R16+R29+R18+R23+R25</f>
        <v>24318676593.700001</v>
      </c>
      <c r="S31" s="51">
        <f t="shared" si="59"/>
        <v>24596289094.98</v>
      </c>
      <c r="T31" s="51">
        <f t="shared" ref="T31:U31" si="60">T4+T9+T27+T11+T16+T29+T18+T23+T25</f>
        <v>25008087505.629997</v>
      </c>
      <c r="U31" s="51">
        <f t="shared" si="60"/>
        <v>27752967199.500004</v>
      </c>
      <c r="V31" s="51">
        <f t="shared" ref="V31:W31" si="61">V4+V9+V27+V11+V16+V29+V18+V23+V25</f>
        <v>28030371098.419998</v>
      </c>
      <c r="W31" s="51">
        <f t="shared" si="61"/>
        <v>28470139918.009998</v>
      </c>
      <c r="X31" s="51">
        <f t="shared" ref="X31:Y31" si="62">X4+X9+X27+X11+X16+X29+X18+X23+X25</f>
        <v>28730238840.09</v>
      </c>
      <c r="Y31" s="51">
        <f t="shared" si="62"/>
        <v>28884892237.509998</v>
      </c>
      <c r="Z31" s="51">
        <f t="shared" ref="Z31:AA31" si="63">Z4+Z9+Z27+Z11+Z16+Z29+Z18+Z23+Z25</f>
        <v>29333388447.219994</v>
      </c>
      <c r="AA31" s="51">
        <f t="shared" si="63"/>
        <v>29686377447.509998</v>
      </c>
      <c r="AB31" s="51">
        <f t="shared" ref="AB31:AG31" si="64">AB4+AB9+AB27+AB11+AB16+AB29+AB18+AB23+AB25</f>
        <v>30077649412.130001</v>
      </c>
      <c r="AC31" s="51">
        <f t="shared" si="64"/>
        <v>31505577814.66</v>
      </c>
      <c r="AD31" s="51">
        <f t="shared" si="64"/>
        <v>32736475562.719997</v>
      </c>
      <c r="AE31" s="51">
        <f t="shared" si="64"/>
        <v>32970295644.379993</v>
      </c>
      <c r="AF31" s="51">
        <f t="shared" si="64"/>
        <v>33169101469.209995</v>
      </c>
      <c r="AG31" s="51">
        <f t="shared" si="64"/>
        <v>35658127644.510002</v>
      </c>
      <c r="AH31" s="51">
        <f t="shared" ref="AH31:AI31" si="65">AH4+AH9+AH27+AH11+AH16+AH29+AH18+AH23+AH25</f>
        <v>36364065597.830002</v>
      </c>
      <c r="AI31" s="51">
        <f t="shared" si="65"/>
        <v>39003770842.520004</v>
      </c>
      <c r="AJ31" s="51">
        <f t="shared" ref="AJ31:AK31" si="66">AJ4+AJ9+AJ27+AJ11+AJ16+AJ29+AJ18+AJ23+AJ25</f>
        <v>39123110543.840004</v>
      </c>
      <c r="AK31" s="78">
        <f t="shared" si="66"/>
        <v>39351836779.25</v>
      </c>
      <c r="AL31" s="78">
        <f t="shared" ref="AL31:AN31" si="67">AL4+AL9+AL27+AL11+AL16+AL29+AL18+AL23+AL25</f>
        <v>43360017035.199997</v>
      </c>
      <c r="AM31" s="102">
        <f t="shared" si="67"/>
        <v>43480946457.559998</v>
      </c>
      <c r="AN31" s="102">
        <f t="shared" si="67"/>
        <v>43482246286.290001</v>
      </c>
      <c r="AO31" s="102">
        <f t="shared" ref="AO31:AQ31" si="68">AO4+AO9+AO27+AO11+AO16+AO29+AO18+AO23+AO25</f>
        <v>43500631911.389999</v>
      </c>
      <c r="AP31" s="102">
        <f t="shared" si="68"/>
        <v>43500521064.529999</v>
      </c>
      <c r="AQ31" s="102">
        <f t="shared" si="68"/>
        <v>43500824523.220001</v>
      </c>
      <c r="AR31" s="102">
        <f t="shared" ref="AR31:AS31" si="69">AR4+AR9+AR27+AR11+AR16+AR29+AR18+AR23+AR25</f>
        <v>43501339499.109993</v>
      </c>
      <c r="AS31" s="102">
        <f t="shared" si="69"/>
        <v>43675171975.609993</v>
      </c>
      <c r="AT31" s="102">
        <f t="shared" ref="AT31:AU31" si="70">AT4+AT9+AT27+AT11+AT16+AT29+AT18+AT23+AT25</f>
        <v>43677146286.279999</v>
      </c>
      <c r="AU31" s="102">
        <f t="shared" si="70"/>
        <v>43678587059.839996</v>
      </c>
      <c r="AV31" s="102">
        <f t="shared" ref="AV31:AW31" si="71">AV4+AV9+AV27+AV11+AV16+AV29+AV18+AV23+AV25</f>
        <v>43680381594.370003</v>
      </c>
      <c r="AW31" s="102">
        <f t="shared" si="71"/>
        <v>43664961770.430023</v>
      </c>
      <c r="AX31" s="102">
        <f t="shared" ref="AX31" si="72">AX4+AX9+AX27+AX11+AX16+AX29+AX18+AX23+AX25</f>
        <v>43668632206.709991</v>
      </c>
    </row>
    <row r="32" spans="2:50" s="38" customFormat="1" ht="15" thickTop="1">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I32" s="49"/>
      <c r="AJ32" s="49"/>
      <c r="AK32" s="72"/>
      <c r="AL32" s="72"/>
      <c r="AM32" s="97"/>
      <c r="AN32" s="97"/>
      <c r="AO32" s="97"/>
      <c r="AP32" s="97"/>
      <c r="AQ32" s="97"/>
      <c r="AR32" s="97"/>
      <c r="AS32" s="97"/>
      <c r="AT32" s="97"/>
      <c r="AU32" s="97"/>
      <c r="AV32" s="97"/>
      <c r="AW32" s="97"/>
      <c r="AX32" s="97"/>
    </row>
    <row r="33" spans="3:50" s="38" customFormat="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K33" s="72"/>
      <c r="AL33" s="72"/>
      <c r="AM33" s="97"/>
      <c r="AN33" s="97"/>
      <c r="AO33" s="97"/>
      <c r="AP33" s="97"/>
      <c r="AQ33" s="97"/>
      <c r="AR33" s="97"/>
      <c r="AS33" s="97"/>
      <c r="AT33" s="97"/>
      <c r="AU33" s="97"/>
      <c r="AV33" s="97"/>
      <c r="AW33" s="97"/>
      <c r="AX33" s="97"/>
    </row>
    <row r="34" spans="3:50" s="38" customFormat="1" ht="15" thickBot="1">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K34" s="72"/>
      <c r="AL34" s="72"/>
      <c r="AM34" s="97"/>
      <c r="AN34" s="97"/>
      <c r="AO34" s="97"/>
      <c r="AP34" s="97"/>
      <c r="AQ34" s="97"/>
      <c r="AR34" s="97"/>
      <c r="AS34" s="97"/>
      <c r="AT34" s="97"/>
      <c r="AU34" s="97"/>
      <c r="AV34" s="97"/>
      <c r="AW34" s="97"/>
      <c r="AX34" s="97"/>
    </row>
    <row r="35" spans="3:50">
      <c r="I35" s="138" t="s">
        <v>13</v>
      </c>
      <c r="J35" s="139"/>
      <c r="K35" s="139"/>
      <c r="L35" s="139"/>
      <c r="M35" s="139"/>
      <c r="N35" s="139"/>
      <c r="O35" s="139"/>
      <c r="P35" s="139"/>
      <c r="Q35" s="139"/>
      <c r="R35" s="139"/>
      <c r="S35" s="139"/>
      <c r="T35" s="139"/>
      <c r="U35" s="140"/>
    </row>
    <row r="36" spans="3:50">
      <c r="I36" s="141" t="s">
        <v>16</v>
      </c>
      <c r="J36" s="142"/>
      <c r="K36" s="142"/>
      <c r="L36" s="142"/>
      <c r="M36" s="142"/>
      <c r="N36" s="142"/>
      <c r="O36" s="142"/>
      <c r="P36" s="142"/>
      <c r="Q36" s="142"/>
      <c r="R36" s="142"/>
      <c r="S36" s="142"/>
      <c r="T36" s="142"/>
      <c r="U36" s="143"/>
    </row>
    <row r="37" spans="3:50" ht="139.5" customHeight="1" thickBot="1">
      <c r="I37" s="144" t="s">
        <v>19</v>
      </c>
      <c r="J37" s="145"/>
      <c r="K37" s="145"/>
      <c r="L37" s="145"/>
      <c r="M37" s="145"/>
      <c r="N37" s="145"/>
      <c r="O37" s="145"/>
      <c r="P37" s="145"/>
      <c r="Q37" s="145"/>
      <c r="R37" s="145"/>
      <c r="S37" s="145"/>
      <c r="T37" s="145"/>
      <c r="U37" s="146"/>
    </row>
    <row r="38" spans="3:50" s="38" customFormat="1">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K38" s="72"/>
      <c r="AL38" s="72"/>
      <c r="AM38" s="97"/>
      <c r="AN38" s="97"/>
      <c r="AO38" s="97"/>
      <c r="AP38" s="97"/>
      <c r="AQ38" s="97"/>
      <c r="AR38" s="97"/>
      <c r="AS38" s="97"/>
      <c r="AT38" s="97"/>
      <c r="AU38" s="97"/>
      <c r="AV38" s="97"/>
      <c r="AW38" s="97"/>
      <c r="AX38" s="97"/>
    </row>
    <row r="39" spans="3:50" s="38" customFormat="1">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K39" s="72"/>
      <c r="AL39" s="72"/>
      <c r="AM39" s="97"/>
      <c r="AN39" s="97"/>
      <c r="AO39" s="97"/>
      <c r="AP39" s="97"/>
      <c r="AQ39" s="97"/>
      <c r="AR39" s="97"/>
      <c r="AS39" s="97"/>
      <c r="AT39" s="97"/>
      <c r="AU39" s="97"/>
      <c r="AV39" s="97"/>
      <c r="AW39" s="97"/>
      <c r="AX39" s="97"/>
    </row>
    <row r="40" spans="3:50" s="38" customFormat="1">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K40" s="72"/>
      <c r="AL40" s="72"/>
      <c r="AM40" s="97"/>
      <c r="AN40" s="97"/>
      <c r="AO40" s="97"/>
      <c r="AP40" s="97"/>
      <c r="AQ40" s="97"/>
      <c r="AR40" s="97"/>
      <c r="AS40" s="97"/>
      <c r="AT40" s="97"/>
      <c r="AU40" s="97"/>
      <c r="AV40" s="97"/>
      <c r="AW40" s="97"/>
      <c r="AX40" s="97"/>
    </row>
    <row r="41" spans="3:50" s="38" customFormat="1">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K41" s="72"/>
      <c r="AL41" s="72"/>
      <c r="AM41" s="97"/>
      <c r="AN41" s="97"/>
      <c r="AO41" s="97"/>
      <c r="AP41" s="97"/>
      <c r="AQ41" s="97"/>
      <c r="AR41" s="97"/>
      <c r="AS41" s="97"/>
      <c r="AT41" s="97"/>
      <c r="AU41" s="97"/>
      <c r="AV41" s="97"/>
      <c r="AW41" s="97"/>
      <c r="AX41" s="97"/>
    </row>
    <row r="42" spans="3:50" s="38" customFormat="1">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K42" s="72"/>
      <c r="AL42" s="72"/>
      <c r="AM42" s="97"/>
      <c r="AN42" s="97"/>
      <c r="AO42" s="97"/>
      <c r="AP42" s="97"/>
      <c r="AQ42" s="97"/>
      <c r="AR42" s="97"/>
      <c r="AS42" s="97"/>
      <c r="AT42" s="97"/>
      <c r="AU42" s="97"/>
      <c r="AV42" s="97"/>
      <c r="AW42" s="97"/>
      <c r="AX42" s="97"/>
    </row>
    <row r="43" spans="3:50" s="38" customFormat="1">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K43" s="72"/>
      <c r="AL43" s="72"/>
      <c r="AM43" s="97"/>
      <c r="AN43" s="97"/>
      <c r="AO43" s="97"/>
      <c r="AP43" s="97"/>
      <c r="AQ43" s="97"/>
      <c r="AR43" s="97"/>
      <c r="AS43" s="97"/>
      <c r="AT43" s="97"/>
      <c r="AU43" s="97"/>
      <c r="AV43" s="97"/>
      <c r="AW43" s="97"/>
      <c r="AX43" s="97"/>
    </row>
    <row r="44" spans="3:50" s="38" customFormat="1">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K44" s="72"/>
      <c r="AL44" s="72"/>
      <c r="AM44" s="97"/>
      <c r="AN44" s="97"/>
      <c r="AO44" s="97"/>
      <c r="AP44" s="97"/>
      <c r="AQ44" s="97"/>
      <c r="AR44" s="97"/>
      <c r="AS44" s="97"/>
      <c r="AT44" s="97"/>
      <c r="AU44" s="97"/>
      <c r="AV44" s="97"/>
      <c r="AW44" s="97"/>
      <c r="AX44" s="97"/>
    </row>
    <row r="45" spans="3:50" s="38" customFormat="1">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K45" s="72"/>
      <c r="AL45" s="72"/>
      <c r="AM45" s="97"/>
      <c r="AN45" s="97"/>
      <c r="AO45" s="97"/>
      <c r="AP45" s="97"/>
      <c r="AQ45" s="97"/>
      <c r="AR45" s="97"/>
      <c r="AS45" s="97"/>
      <c r="AT45" s="97"/>
      <c r="AU45" s="97"/>
      <c r="AV45" s="97"/>
      <c r="AW45" s="97"/>
      <c r="AX45" s="97"/>
    </row>
    <row r="46" spans="3:50" s="38" customFormat="1">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K46" s="72"/>
      <c r="AL46" s="72"/>
      <c r="AM46" s="97"/>
      <c r="AN46" s="97"/>
      <c r="AO46" s="97"/>
      <c r="AP46" s="97"/>
      <c r="AQ46" s="97"/>
      <c r="AR46" s="97"/>
      <c r="AS46" s="97"/>
      <c r="AT46" s="97"/>
      <c r="AU46" s="97"/>
      <c r="AV46" s="97"/>
      <c r="AW46" s="97"/>
      <c r="AX46" s="97"/>
    </row>
    <row r="47" spans="3:50" s="38" customFormat="1">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K47" s="72"/>
      <c r="AL47" s="72"/>
      <c r="AM47" s="97"/>
      <c r="AN47" s="97"/>
      <c r="AO47" s="97"/>
      <c r="AP47" s="97"/>
      <c r="AQ47" s="97"/>
      <c r="AR47" s="97"/>
      <c r="AS47" s="97"/>
      <c r="AT47" s="97"/>
      <c r="AU47" s="97"/>
      <c r="AV47" s="97"/>
      <c r="AW47" s="97"/>
      <c r="AX47" s="97"/>
    </row>
    <row r="48" spans="3:50" s="38" customFormat="1">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K48" s="72"/>
      <c r="AL48" s="72"/>
      <c r="AM48" s="97"/>
      <c r="AN48" s="97"/>
      <c r="AO48" s="97"/>
      <c r="AP48" s="97"/>
      <c r="AQ48" s="97"/>
      <c r="AR48" s="97"/>
      <c r="AS48" s="97"/>
      <c r="AT48" s="97"/>
      <c r="AU48" s="97"/>
      <c r="AV48" s="97"/>
      <c r="AW48" s="97"/>
      <c r="AX48" s="97"/>
    </row>
    <row r="49" spans="3:29">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row>
  </sheetData>
  <mergeCells count="4">
    <mergeCell ref="I35:U35"/>
    <mergeCell ref="I36:U36"/>
    <mergeCell ref="I37:U37"/>
    <mergeCell ref="C1:AG1"/>
  </mergeCells>
  <pageMargins left="0.25" right="0.25" top="0.75" bottom="0.75" header="0.3" footer="0.3"/>
  <pageSetup paperSize="5" scale="26" orientation="landscape" horizontalDpi="4294967293"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Overview and Summary</vt:lpstr>
      <vt:lpstr>Funds Received - Monthly</vt:lpstr>
      <vt:lpstr>Funds Spent - Monthly</vt:lpstr>
      <vt:lpstr>'Funds Received - Monthly'!Print_Area</vt:lpstr>
      <vt:lpstr>'Funds Spent - Monthly'!Print_Area</vt:lpstr>
      <vt:lpstr>'Overview and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Swanson</dc:creator>
  <cp:lastModifiedBy>Kristin LaPlante</cp:lastModifiedBy>
  <cp:lastPrinted>2023-02-03T19:23:16Z</cp:lastPrinted>
  <dcterms:created xsi:type="dcterms:W3CDTF">2021-10-04T21:30:02Z</dcterms:created>
  <dcterms:modified xsi:type="dcterms:W3CDTF">2026-02-06T14:55:46Z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76bc99-b2d9-4c72-8373-71b8b88f3815_Enabled">
    <vt:lpwstr>true</vt:lpwstr>
  </property>
  <property fmtid="{D5CDD505-2E9C-101B-9397-08002B2CF9AE}" pid="3" name="MSIP_Label_c376bc99-b2d9-4c72-8373-71b8b88f3815_SetDate">
    <vt:lpwstr>2025-03-18T14:40:47Z</vt:lpwstr>
  </property>
  <property fmtid="{D5CDD505-2E9C-101B-9397-08002B2CF9AE}" pid="4" name="MSIP_Label_c376bc99-b2d9-4c72-8373-71b8b88f3815_Method">
    <vt:lpwstr>Standard</vt:lpwstr>
  </property>
  <property fmtid="{D5CDD505-2E9C-101B-9397-08002B2CF9AE}" pid="5" name="MSIP_Label_c376bc99-b2d9-4c72-8373-71b8b88f3815_Name">
    <vt:lpwstr>Internal Use Only</vt:lpwstr>
  </property>
  <property fmtid="{D5CDD505-2E9C-101B-9397-08002B2CF9AE}" pid="6" name="MSIP_Label_c376bc99-b2d9-4c72-8373-71b8b88f3815_SiteId">
    <vt:lpwstr>23b2cc00-e776-44cb-a980-c7c90c455026</vt:lpwstr>
  </property>
  <property fmtid="{D5CDD505-2E9C-101B-9397-08002B2CF9AE}" pid="7" name="MSIP_Label_c376bc99-b2d9-4c72-8373-71b8b88f3815_ActionId">
    <vt:lpwstr>41e4a790-af8e-4b0b-a5bf-8a2bec44454d</vt:lpwstr>
  </property>
  <property fmtid="{D5CDD505-2E9C-101B-9397-08002B2CF9AE}" pid="8" name="MSIP_Label_c376bc99-b2d9-4c72-8373-71b8b88f3815_ContentBits">
    <vt:lpwstr>0</vt:lpwstr>
  </property>
  <property fmtid="{D5CDD505-2E9C-101B-9397-08002B2CF9AE}" pid="9" name="MSIP_Label_c376bc99-b2d9-4c72-8373-71b8b88f3815_Tag">
    <vt:lpwstr>10, 3, 0, 1</vt:lpwstr>
  </property>
</Properties>
</file>